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19440" windowHeight="9990" firstSheet="1" activeTab="7"/>
  </bookViews>
  <sheets>
    <sheet name="USE" sheetId="15" r:id="rId1"/>
    <sheet name="USES" sheetId="4" r:id="rId2"/>
    <sheet name="SUT1 (S)" sheetId="10" r:id="rId3"/>
    <sheet name="VATS" sheetId="6" r:id="rId4"/>
    <sheet name="trade margins(S)" sheetId="7" r:id="rId5"/>
    <sheet name="excise taxesS" sheetId="14" r:id="rId6"/>
    <sheet name="step 1S" sheetId="1" r:id="rId7"/>
    <sheet name="final (S)" sheetId="11" r:id="rId8"/>
  </sheets>
  <calcPr calcId="124519"/>
</workbook>
</file>

<file path=xl/calcChain.xml><?xml version="1.0" encoding="utf-8"?>
<calcChain xmlns="http://schemas.openxmlformats.org/spreadsheetml/2006/main">
  <c r="C9" i="1"/>
  <c r="D9"/>
  <c r="E9"/>
  <c r="F9"/>
  <c r="B9"/>
  <c r="C8"/>
  <c r="D8"/>
  <c r="E8"/>
  <c r="F8"/>
  <c r="B8"/>
  <c r="F7"/>
  <c r="C7"/>
  <c r="D7"/>
  <c r="E7"/>
  <c r="B7"/>
  <c r="C6"/>
  <c r="D6"/>
  <c r="E6"/>
  <c r="F6"/>
  <c r="B6"/>
  <c r="C5"/>
  <c r="D5"/>
  <c r="E5"/>
  <c r="F5"/>
  <c r="B5"/>
  <c r="F4"/>
  <c r="C4"/>
  <c r="D4"/>
  <c r="E4"/>
  <c r="B4"/>
  <c r="K29" i="11"/>
  <c r="E28"/>
  <c r="E40" s="1"/>
  <c r="F28"/>
  <c r="C27"/>
  <c r="C8" i="14"/>
  <c r="D8"/>
  <c r="E8"/>
  <c r="F8"/>
  <c r="G8"/>
  <c r="H8"/>
  <c r="H9" s="1"/>
  <c r="I8"/>
  <c r="I9" s="1"/>
  <c r="J8"/>
  <c r="J7"/>
  <c r="C7"/>
  <c r="D7"/>
  <c r="E7"/>
  <c r="F7"/>
  <c r="B7"/>
  <c r="G41" i="11"/>
  <c r="J41"/>
  <c r="B41"/>
  <c r="G37"/>
  <c r="G43" s="1"/>
  <c r="G33" i="1"/>
  <c r="I33"/>
  <c r="G25"/>
  <c r="I25"/>
  <c r="G42" i="11"/>
  <c r="G39"/>
  <c r="H40"/>
  <c r="F40"/>
  <c r="C40"/>
  <c r="B40"/>
  <c r="K37"/>
  <c r="J45" i="1"/>
  <c r="C45"/>
  <c r="D45"/>
  <c r="E45"/>
  <c r="F45"/>
  <c r="B45"/>
  <c r="C29"/>
  <c r="C22" i="11" s="1"/>
  <c r="D29" i="1"/>
  <c r="D22" i="11" s="1"/>
  <c r="E29" i="1"/>
  <c r="E22" i="11" s="1"/>
  <c r="F29" i="1"/>
  <c r="F22" i="11" s="1"/>
  <c r="B29" i="1"/>
  <c r="B22" i="11" s="1"/>
  <c r="J21" i="1"/>
  <c r="C21"/>
  <c r="D21"/>
  <c r="D17" i="11" s="1"/>
  <c r="E21" i="1"/>
  <c r="E17" i="11" s="1"/>
  <c r="F21" i="1"/>
  <c r="F17" i="11" s="1"/>
  <c r="G21" i="1"/>
  <c r="H21"/>
  <c r="H17" i="11" s="1"/>
  <c r="H42" s="1"/>
  <c r="B21" i="1"/>
  <c r="B17" i="11" s="1"/>
  <c r="J17"/>
  <c r="C17"/>
  <c r="K8"/>
  <c r="K7"/>
  <c r="K32" s="1"/>
  <c r="D32" s="1"/>
  <c r="K6" i="4"/>
  <c r="K7"/>
  <c r="K8"/>
  <c r="K9"/>
  <c r="K10"/>
  <c r="K11"/>
  <c r="K5"/>
  <c r="J27" i="11"/>
  <c r="J30" s="1"/>
  <c r="E27"/>
  <c r="F27"/>
  <c r="B27"/>
  <c r="B30" s="1"/>
  <c r="J10" i="1"/>
  <c r="I10"/>
  <c r="I20" i="7"/>
  <c r="J19"/>
  <c r="J33" i="1" s="1"/>
  <c r="S7" i="7"/>
  <c r="H19" s="1"/>
  <c r="H33" i="1" s="1"/>
  <c r="U6" i="7"/>
  <c r="J17" s="1"/>
  <c r="J20" s="1"/>
  <c r="S6"/>
  <c r="H17" s="1"/>
  <c r="H25" i="1" s="1"/>
  <c r="Q6" i="7"/>
  <c r="F17" s="1"/>
  <c r="F25" i="1" s="1"/>
  <c r="Q7" i="7"/>
  <c r="F19" s="1"/>
  <c r="F33" i="1" s="1"/>
  <c r="M7" i="7"/>
  <c r="B19" s="1"/>
  <c r="B33" i="1" s="1"/>
  <c r="N7" i="7"/>
  <c r="C19" s="1"/>
  <c r="C33" i="1" s="1"/>
  <c r="O7" i="7"/>
  <c r="D19" s="1"/>
  <c r="D33" i="1" s="1"/>
  <c r="P7" i="7"/>
  <c r="E19" s="1"/>
  <c r="E33" i="1" s="1"/>
  <c r="N6" i="7"/>
  <c r="O6"/>
  <c r="D17" s="1"/>
  <c r="D25" i="1" s="1"/>
  <c r="P6" i="7"/>
  <c r="E17" s="1"/>
  <c r="E25" i="1" s="1"/>
  <c r="M6" i="7"/>
  <c r="F20" i="6"/>
  <c r="H20"/>
  <c r="H25" s="1"/>
  <c r="C23"/>
  <c r="D23"/>
  <c r="E23"/>
  <c r="F23"/>
  <c r="B23"/>
  <c r="B24" s="1"/>
  <c r="K24" s="1"/>
  <c r="I6" i="1" s="1"/>
  <c r="F21" i="6"/>
  <c r="F22" s="1"/>
  <c r="C21"/>
  <c r="C22" s="1"/>
  <c r="D21"/>
  <c r="D22" s="1"/>
  <c r="E21"/>
  <c r="E22" s="1"/>
  <c r="B21"/>
  <c r="B22" s="1"/>
  <c r="C19"/>
  <c r="D19"/>
  <c r="D20" s="1"/>
  <c r="D25" s="1"/>
  <c r="E19"/>
  <c r="E20" s="1"/>
  <c r="B19"/>
  <c r="B20" s="1"/>
  <c r="J26" i="10"/>
  <c r="H26"/>
  <c r="F26"/>
  <c r="C26"/>
  <c r="D26"/>
  <c r="E26"/>
  <c r="B26"/>
  <c r="F12"/>
  <c r="E12"/>
  <c r="D12"/>
  <c r="C12"/>
  <c r="B12"/>
  <c r="G11"/>
  <c r="G10"/>
  <c r="K10" s="1"/>
  <c r="G9"/>
  <c r="K9" s="1"/>
  <c r="G8"/>
  <c r="G7"/>
  <c r="G6"/>
  <c r="C16" i="7"/>
  <c r="C17" s="1"/>
  <c r="C25" i="1" s="1"/>
  <c r="B16" i="7"/>
  <c r="B17" s="1"/>
  <c r="B25" i="1" s="1"/>
  <c r="C10"/>
  <c r="B10"/>
  <c r="G7"/>
  <c r="K7" s="1"/>
  <c r="G6"/>
  <c r="G4"/>
  <c r="G9" l="1"/>
  <c r="H9" s="1"/>
  <c r="C9" i="14"/>
  <c r="C10" s="1"/>
  <c r="C29" i="11" s="1"/>
  <c r="D10" i="1"/>
  <c r="G5"/>
  <c r="E10"/>
  <c r="F10"/>
  <c r="G8"/>
  <c r="K8" s="1"/>
  <c r="E9" i="14"/>
  <c r="E10" s="1"/>
  <c r="F9"/>
  <c r="F10" s="1"/>
  <c r="D9"/>
  <c r="D10" s="1"/>
  <c r="F29" i="11" s="1"/>
  <c r="F41" s="1"/>
  <c r="J9" i="14"/>
  <c r="J11" s="1"/>
  <c r="K8"/>
  <c r="K7"/>
  <c r="K10" i="1"/>
  <c r="B8" i="14"/>
  <c r="B9" s="1"/>
  <c r="B11" s="1"/>
  <c r="H39" i="11"/>
  <c r="J42"/>
  <c r="J39" s="1"/>
  <c r="F42"/>
  <c r="C42"/>
  <c r="J25" i="1"/>
  <c r="K25" s="1"/>
  <c r="B42" i="11"/>
  <c r="B39" s="1"/>
  <c r="E42"/>
  <c r="K29" i="1"/>
  <c r="K45"/>
  <c r="D20" i="7"/>
  <c r="E20"/>
  <c r="K21" i="1"/>
  <c r="C20" i="7"/>
  <c r="H20"/>
  <c r="K19"/>
  <c r="H5" i="1" s="1"/>
  <c r="K17" i="7"/>
  <c r="B20"/>
  <c r="K6" i="1"/>
  <c r="F20" i="7"/>
  <c r="F25" i="6"/>
  <c r="K19"/>
  <c r="I10" i="11"/>
  <c r="B25" i="6"/>
  <c r="E25"/>
  <c r="C20"/>
  <c r="C25" s="1"/>
  <c r="K21"/>
  <c r="K23"/>
  <c r="K22"/>
  <c r="I5" i="1" s="1"/>
  <c r="K9" i="14" l="1"/>
  <c r="F39" i="11"/>
  <c r="D11" i="14"/>
  <c r="F30" i="11"/>
  <c r="E11" i="14"/>
  <c r="E29" i="11"/>
  <c r="C41"/>
  <c r="C39" s="1"/>
  <c r="C30"/>
  <c r="F11" i="14"/>
  <c r="K10"/>
  <c r="C11"/>
  <c r="K5" i="1"/>
  <c r="H4"/>
  <c r="K20" i="7"/>
  <c r="K20" i="6"/>
  <c r="I4" i="1" s="1"/>
  <c r="K25" i="6"/>
  <c r="I6" i="11" s="1"/>
  <c r="K28" s="1"/>
  <c r="D28" s="1"/>
  <c r="K11" i="14" l="1"/>
  <c r="E41" i="11"/>
  <c r="E39" s="1"/>
  <c r="E30"/>
  <c r="D29"/>
  <c r="D41" s="1"/>
  <c r="M9"/>
  <c r="F24" s="1"/>
  <c r="F25" s="1"/>
  <c r="H4"/>
  <c r="I11" i="1"/>
  <c r="K4"/>
  <c r="K11" s="1"/>
  <c r="L11" s="1"/>
  <c r="H11"/>
  <c r="D19" i="11" l="1"/>
  <c r="D24"/>
  <c r="D25" s="1"/>
  <c r="C24"/>
  <c r="C25" s="1"/>
  <c r="H24"/>
  <c r="H25" s="1"/>
  <c r="F19"/>
  <c r="F20" s="1"/>
  <c r="E24"/>
  <c r="E25" s="1"/>
  <c r="H19"/>
  <c r="B24"/>
  <c r="B25" s="1"/>
  <c r="J19"/>
  <c r="J20" s="1"/>
  <c r="B19"/>
  <c r="B20" s="1"/>
  <c r="C19"/>
  <c r="C37" s="1"/>
  <c r="I19"/>
  <c r="E19"/>
  <c r="E20" s="1"/>
  <c r="J24"/>
  <c r="J25" s="1"/>
  <c r="I24"/>
  <c r="D20"/>
  <c r="F37"/>
  <c r="C20"/>
  <c r="K6"/>
  <c r="K27" s="1"/>
  <c r="D40"/>
  <c r="K40" s="1"/>
  <c r="K19"/>
  <c r="H37" l="1"/>
  <c r="H20"/>
  <c r="D37"/>
  <c r="B37"/>
  <c r="B43" s="1"/>
  <c r="E37"/>
  <c r="E43" s="1"/>
  <c r="I37"/>
  <c r="J37"/>
  <c r="J43" s="1"/>
  <c r="C43"/>
  <c r="F43"/>
  <c r="K30"/>
  <c r="D30" s="1"/>
  <c r="D27" s="1"/>
  <c r="K4"/>
  <c r="H5"/>
  <c r="K5" s="1"/>
  <c r="K22" s="1"/>
  <c r="H43" l="1"/>
  <c r="D43"/>
  <c r="D42"/>
  <c r="D39" s="1"/>
  <c r="K25"/>
  <c r="I22"/>
  <c r="I25" s="1"/>
  <c r="K17"/>
  <c r="K10"/>
  <c r="K20" l="1"/>
  <c r="I17"/>
  <c r="I42" s="1"/>
  <c r="I20" l="1"/>
  <c r="I43" s="1"/>
  <c r="K43" s="1"/>
  <c r="I39"/>
  <c r="K39" s="1"/>
</calcChain>
</file>

<file path=xl/sharedStrings.xml><?xml version="1.0" encoding="utf-8"?>
<sst xmlns="http://schemas.openxmlformats.org/spreadsheetml/2006/main" count="724" uniqueCount="151">
  <si>
    <t>Industries</t>
  </si>
  <si>
    <t xml:space="preserve">Import </t>
  </si>
  <si>
    <t>prices</t>
  </si>
  <si>
    <t>margins</t>
  </si>
  <si>
    <t xml:space="preserve"> taxes</t>
  </si>
  <si>
    <t>Products</t>
  </si>
  <si>
    <t>(cif)</t>
  </si>
  <si>
    <t>1. Goods</t>
  </si>
  <si>
    <t>2. Trade</t>
  </si>
  <si>
    <t>3. Services</t>
  </si>
  <si>
    <t>4. Govt</t>
  </si>
  <si>
    <t>1. Goods  A</t>
  </si>
  <si>
    <t xml:space="preserve"> </t>
  </si>
  <si>
    <t>2. Goods  B</t>
  </si>
  <si>
    <t>3. Electricity</t>
  </si>
  <si>
    <t>4. Services</t>
  </si>
  <si>
    <t>-</t>
  </si>
  <si>
    <t>5. Government services</t>
  </si>
  <si>
    <t>6. Distributive services</t>
  </si>
  <si>
    <t>‑</t>
  </si>
  <si>
    <t>Total given</t>
  </si>
  <si>
    <t>Total estimated</t>
  </si>
  <si>
    <t>Uses</t>
  </si>
  <si>
    <t>Intermediate consumption</t>
  </si>
  <si>
    <t>Final use</t>
  </si>
  <si>
    <t>Total  use</t>
  </si>
  <si>
    <t>excl.</t>
  </si>
  <si>
    <t xml:space="preserve">Consumption </t>
  </si>
  <si>
    <t>Fixed</t>
  </si>
  <si>
    <t xml:space="preserve">Change </t>
  </si>
  <si>
    <t xml:space="preserve">Export </t>
  </si>
  <si>
    <t>Invent.</t>
  </si>
  <si>
    <t xml:space="preserve"> Cap.Form</t>
  </si>
  <si>
    <t>Household</t>
  </si>
  <si>
    <t>Govt.</t>
  </si>
  <si>
    <t>1. Goods A purchasers' prices</t>
  </si>
  <si>
    <t xml:space="preserve">      ?</t>
  </si>
  <si>
    <t xml:space="preserve">   - VAT</t>
  </si>
  <si>
    <t xml:space="preserve">  - Trade margins</t>
  </si>
  <si>
    <t xml:space="preserve">  = At basic  prices</t>
  </si>
  <si>
    <t>2. Goods B purchasers' prices</t>
  </si>
  <si>
    <t>3. Electricity at purchasers' prices</t>
  </si>
  <si>
    <t xml:space="preserve">  - Excise taxes</t>
  </si>
  <si>
    <t>6. Distributive services, purch. prices</t>
  </si>
  <si>
    <t xml:space="preserve">    At basic prices</t>
  </si>
  <si>
    <t xml:space="preserve"> = Total at basic  prices</t>
  </si>
  <si>
    <t>?</t>
  </si>
  <si>
    <t>Total purchasers' prices</t>
  </si>
  <si>
    <t>Supply</t>
  </si>
  <si>
    <t>Supply  basic prices</t>
  </si>
  <si>
    <t>Total</t>
  </si>
  <si>
    <t xml:space="preserve">Basic </t>
  </si>
  <si>
    <t>Trade</t>
  </si>
  <si>
    <t>VAT</t>
  </si>
  <si>
    <t>Excise</t>
  </si>
  <si>
    <t xml:space="preserve">Purchasers' </t>
  </si>
  <si>
    <t xml:space="preserve">Total </t>
  </si>
  <si>
    <t>Use</t>
  </si>
  <si>
    <t>Consumption</t>
  </si>
  <si>
    <t>GFCF</t>
  </si>
  <si>
    <t>Change</t>
  </si>
  <si>
    <t>Inventory</t>
  </si>
  <si>
    <t xml:space="preserve">   - Trade margins</t>
  </si>
  <si>
    <t xml:space="preserve">3. Electricity </t>
  </si>
  <si>
    <t xml:space="preserve">   - Excise taxes</t>
  </si>
  <si>
    <t>6. Distributive services,</t>
  </si>
  <si>
    <t>Export</t>
  </si>
  <si>
    <t>inventory</t>
  </si>
  <si>
    <t>1. Goods A</t>
  </si>
  <si>
    <t>9.1%</t>
  </si>
  <si>
    <t>16.7%</t>
  </si>
  <si>
    <t>33.3%</t>
  </si>
  <si>
    <t xml:space="preserve">  ‑</t>
  </si>
  <si>
    <t>0.0%</t>
  </si>
  <si>
    <t>2. Goods B</t>
  </si>
  <si>
    <t>23.1%</t>
  </si>
  <si>
    <t>20.0%</t>
  </si>
  <si>
    <t>41.2%</t>
  </si>
  <si>
    <t>purchasers' prices</t>
  </si>
  <si>
    <t xml:space="preserve">1. Goods A </t>
  </si>
  <si>
    <t xml:space="preserve">   ‑ VAT</t>
  </si>
  <si>
    <t xml:space="preserve">2. Goods B </t>
  </si>
  <si>
    <t>Total VAT</t>
  </si>
  <si>
    <t xml:space="preserve">5. Government </t>
  </si>
  <si>
    <t>6. Trade</t>
  </si>
  <si>
    <t>Export (fob)</t>
  </si>
  <si>
    <t>Govt</t>
  </si>
  <si>
    <t xml:space="preserve">      ‑</t>
  </si>
  <si>
    <t xml:space="preserve">          ‑</t>
  </si>
  <si>
    <t xml:space="preserve">Total purchasers' </t>
  </si>
  <si>
    <t>VAT rate (net) use matrix (as shares of uses in purchasers' prices including VAT)</t>
  </si>
  <si>
    <t>(fob)</t>
  </si>
  <si>
    <t>2. Electricity</t>
  </si>
  <si>
    <t xml:space="preserve"> ‑</t>
  </si>
  <si>
    <t>Househ</t>
  </si>
  <si>
    <t>Preliminary estimate of trade margins by product and user category</t>
  </si>
  <si>
    <t>purchasers prices Ex. VAT</t>
  </si>
  <si>
    <t xml:space="preserve">1. Goods A; </t>
  </si>
  <si>
    <t xml:space="preserve"> ?</t>
  </si>
  <si>
    <t xml:space="preserve">   ‑ Trade margins</t>
  </si>
  <si>
    <t xml:space="preserve">1. Goods B; </t>
  </si>
  <si>
    <t xml:space="preserve">       ?</t>
  </si>
  <si>
    <t>Total trade margins</t>
  </si>
  <si>
    <t>at purchasers' prices</t>
  </si>
  <si>
    <t xml:space="preserve">  = At purchasers' prices excluding VAT</t>
  </si>
  <si>
    <t xml:space="preserve">  = At basic prices</t>
  </si>
  <si>
    <t>rate</t>
  </si>
  <si>
    <t xml:space="preserve">Ind.1 </t>
  </si>
  <si>
    <t>Ind 2.</t>
  </si>
  <si>
    <t xml:space="preserve">Ind. 3 </t>
  </si>
  <si>
    <t>Ind. 4</t>
  </si>
  <si>
    <t>H. Cons.</t>
  </si>
  <si>
    <t>Gov. Cons.</t>
  </si>
  <si>
    <t>Ch. stocks</t>
  </si>
  <si>
    <t>Services</t>
  </si>
  <si>
    <t>Gov.</t>
  </si>
  <si>
    <t>Goods A</t>
  </si>
  <si>
    <t xml:space="preserve">  -</t>
  </si>
  <si>
    <t>Goods B</t>
  </si>
  <si>
    <t>Trade margin rate Mr = Mc / B</t>
  </si>
  <si>
    <t xml:space="preserve">Trade margin rate use matrix (as shares of uses in basic prices + excise taxes) mr' = MC /P = mr' = mr / (1+ mr ) </t>
  </si>
  <si>
    <r>
      <t>m</t>
    </r>
    <r>
      <rPr>
        <vertAlign val="subscript"/>
        <sz val="20"/>
        <color rgb="FF000000"/>
        <rFont val="Times New Roman"/>
        <family val="1"/>
      </rPr>
      <t>r</t>
    </r>
    <r>
      <rPr>
        <sz val="20"/>
        <color rgb="FF000000"/>
        <rFont val="Times New Roman"/>
        <family val="1"/>
      </rPr>
      <t xml:space="preserve"> = MC / B and m</t>
    </r>
    <r>
      <rPr>
        <vertAlign val="subscript"/>
        <sz val="20"/>
        <color rgb="FF000000"/>
        <rFont val="Times New Roman"/>
        <family val="1"/>
      </rPr>
      <t>r</t>
    </r>
    <r>
      <rPr>
        <sz val="20"/>
        <color rgb="FF000000"/>
        <rFont val="Times New Roman"/>
        <family val="1"/>
      </rPr>
      <t>‘ = MC / P  =&gt; m</t>
    </r>
    <r>
      <rPr>
        <vertAlign val="subscript"/>
        <sz val="20"/>
        <color rgb="FF000000"/>
        <rFont val="Times New Roman"/>
        <family val="1"/>
      </rPr>
      <t>r</t>
    </r>
    <r>
      <rPr>
        <sz val="20"/>
        <color rgb="FF000000"/>
        <rFont val="Times New Roman"/>
        <family val="1"/>
      </rPr>
      <t>‘ = MC/ (MC+B) =&gt; m</t>
    </r>
    <r>
      <rPr>
        <vertAlign val="subscript"/>
        <sz val="20"/>
        <color rgb="FF000000"/>
        <rFont val="Times New Roman"/>
        <family val="1"/>
      </rPr>
      <t>r</t>
    </r>
    <r>
      <rPr>
        <sz val="20"/>
        <color rgb="FF000000"/>
        <rFont val="Times New Roman"/>
        <family val="1"/>
      </rPr>
      <t xml:space="preserve">‘*(MC+B) = MC  </t>
    </r>
  </si>
  <si>
    <r>
      <t>Þ</t>
    </r>
    <r>
      <rPr>
        <sz val="20"/>
        <color rgb="FF000000"/>
        <rFont val="Times New Roman"/>
        <family val="1"/>
      </rPr>
      <t xml:space="preserve"> MC*(1- m</t>
    </r>
    <r>
      <rPr>
        <vertAlign val="subscript"/>
        <sz val="20"/>
        <color rgb="FF000000"/>
        <rFont val="Times New Roman"/>
        <family val="1"/>
      </rPr>
      <t>r</t>
    </r>
    <r>
      <rPr>
        <sz val="20"/>
        <color rgb="FF000000"/>
        <rFont val="Times New Roman"/>
        <family val="1"/>
      </rPr>
      <t>‘) = m</t>
    </r>
    <r>
      <rPr>
        <vertAlign val="subscript"/>
        <sz val="20"/>
        <color rgb="FF000000"/>
        <rFont val="Times New Roman"/>
        <family val="1"/>
      </rPr>
      <t>r</t>
    </r>
    <r>
      <rPr>
        <sz val="20"/>
        <color rgb="FF000000"/>
        <rFont val="Times New Roman"/>
        <family val="1"/>
      </rPr>
      <t>‘ * B =&gt; (1- m</t>
    </r>
    <r>
      <rPr>
        <vertAlign val="subscript"/>
        <sz val="20"/>
        <color rgb="FF000000"/>
        <rFont val="Times New Roman"/>
        <family val="1"/>
      </rPr>
      <t>r</t>
    </r>
    <r>
      <rPr>
        <sz val="20"/>
        <color rgb="FF000000"/>
        <rFont val="Times New Roman"/>
        <family val="1"/>
      </rPr>
      <t>‘) / m</t>
    </r>
    <r>
      <rPr>
        <vertAlign val="subscript"/>
        <sz val="20"/>
        <color rgb="FF000000"/>
        <rFont val="Times New Roman"/>
        <family val="1"/>
      </rPr>
      <t>r</t>
    </r>
    <r>
      <rPr>
        <sz val="20"/>
        <color rgb="FF000000"/>
        <rFont val="Times New Roman"/>
        <family val="1"/>
      </rPr>
      <t>‘ = 1 / m</t>
    </r>
    <r>
      <rPr>
        <vertAlign val="subscript"/>
        <sz val="20"/>
        <color rgb="FF000000"/>
        <rFont val="Times New Roman"/>
        <family val="1"/>
      </rPr>
      <t>r</t>
    </r>
    <r>
      <rPr>
        <sz val="20"/>
        <color rgb="FF000000"/>
        <rFont val="Times New Roman"/>
        <family val="1"/>
      </rPr>
      <t xml:space="preserve"> =&gt; (1- m</t>
    </r>
    <r>
      <rPr>
        <vertAlign val="subscript"/>
        <sz val="20"/>
        <color rgb="FF000000"/>
        <rFont val="Times New Roman"/>
        <family val="1"/>
      </rPr>
      <t>r</t>
    </r>
    <r>
      <rPr>
        <sz val="20"/>
        <color rgb="FF000000"/>
        <rFont val="Times New Roman"/>
        <family val="1"/>
      </rPr>
      <t>‘) * m</t>
    </r>
    <r>
      <rPr>
        <vertAlign val="subscript"/>
        <sz val="20"/>
        <color rgb="FF000000"/>
        <rFont val="Times New Roman"/>
        <family val="1"/>
      </rPr>
      <t>r</t>
    </r>
    <r>
      <rPr>
        <sz val="20"/>
        <color rgb="FF000000"/>
        <rFont val="Times New Roman"/>
        <family val="1"/>
      </rPr>
      <t xml:space="preserve"> = m</t>
    </r>
    <r>
      <rPr>
        <vertAlign val="subscript"/>
        <sz val="20"/>
        <color rgb="FF000000"/>
        <rFont val="Times New Roman"/>
        <family val="1"/>
      </rPr>
      <t>r</t>
    </r>
    <r>
      <rPr>
        <sz val="20"/>
        <color rgb="FF000000"/>
        <rFont val="Times New Roman"/>
        <family val="1"/>
      </rPr>
      <t xml:space="preserve">‘ </t>
    </r>
  </si>
  <si>
    <r>
      <t>Þ</t>
    </r>
    <r>
      <rPr>
        <sz val="20"/>
        <color rgb="FF000000"/>
        <rFont val="Times New Roman"/>
        <family val="1"/>
      </rPr>
      <t xml:space="preserve"> m</t>
    </r>
    <r>
      <rPr>
        <vertAlign val="subscript"/>
        <sz val="20"/>
        <color rgb="FF000000"/>
        <rFont val="Times New Roman"/>
        <family val="1"/>
      </rPr>
      <t>r</t>
    </r>
    <r>
      <rPr>
        <sz val="20"/>
        <color rgb="FF000000"/>
        <rFont val="Times New Roman"/>
        <family val="1"/>
      </rPr>
      <t>'  = m</t>
    </r>
    <r>
      <rPr>
        <vertAlign val="subscript"/>
        <sz val="20"/>
        <color rgb="FF000000"/>
        <rFont val="Times New Roman"/>
        <family val="1"/>
      </rPr>
      <t>r</t>
    </r>
    <r>
      <rPr>
        <sz val="20"/>
        <color rgb="FF000000"/>
        <rFont val="Times New Roman"/>
        <family val="1"/>
      </rPr>
      <t xml:space="preserve"> - m</t>
    </r>
    <r>
      <rPr>
        <vertAlign val="subscript"/>
        <sz val="20"/>
        <color rgb="FF000000"/>
        <rFont val="Times New Roman"/>
        <family val="1"/>
      </rPr>
      <t>r</t>
    </r>
    <r>
      <rPr>
        <sz val="20"/>
        <color rgb="FF000000"/>
        <rFont val="Times New Roman"/>
        <family val="1"/>
      </rPr>
      <t>‘ * m</t>
    </r>
    <r>
      <rPr>
        <vertAlign val="subscript"/>
        <sz val="20"/>
        <color rgb="FF000000"/>
        <rFont val="Times New Roman"/>
        <family val="1"/>
      </rPr>
      <t>r</t>
    </r>
  </si>
  <si>
    <r>
      <t>=&gt;   m</t>
    </r>
    <r>
      <rPr>
        <vertAlign val="subscript"/>
        <sz val="20"/>
        <color rgb="FF000000"/>
        <rFont val="Times New Roman"/>
        <family val="1"/>
      </rPr>
      <t>r</t>
    </r>
    <r>
      <rPr>
        <sz val="20"/>
        <color rgb="FF000000"/>
        <rFont val="Times New Roman"/>
        <family val="1"/>
      </rPr>
      <t>' * (1+ m</t>
    </r>
    <r>
      <rPr>
        <vertAlign val="subscript"/>
        <sz val="20"/>
        <color rgb="FF000000"/>
        <rFont val="Times New Roman"/>
        <family val="1"/>
      </rPr>
      <t>r</t>
    </r>
    <r>
      <rPr>
        <sz val="20"/>
        <color rgb="FF000000"/>
        <rFont val="Times New Roman"/>
        <family val="1"/>
      </rPr>
      <t xml:space="preserve"> ) = m</t>
    </r>
    <r>
      <rPr>
        <vertAlign val="subscript"/>
        <sz val="20"/>
        <color rgb="FF000000"/>
        <rFont val="Times New Roman"/>
        <family val="1"/>
      </rPr>
      <t>r</t>
    </r>
    <r>
      <rPr>
        <sz val="20"/>
        <color rgb="FF000000"/>
        <rFont val="Times New Roman"/>
        <family val="1"/>
      </rPr>
      <t xml:space="preserve"> </t>
    </r>
  </si>
  <si>
    <r>
      <t xml:space="preserve"> =&gt;   m</t>
    </r>
    <r>
      <rPr>
        <vertAlign val="subscript"/>
        <sz val="20"/>
        <color rgb="FF000000"/>
        <rFont val="Times New Roman"/>
        <family val="1"/>
      </rPr>
      <t>r</t>
    </r>
    <r>
      <rPr>
        <sz val="20"/>
        <color rgb="FF000000"/>
        <rFont val="Times New Roman"/>
        <family val="1"/>
      </rPr>
      <t>' = m</t>
    </r>
    <r>
      <rPr>
        <vertAlign val="subscript"/>
        <sz val="20"/>
        <color rgb="FF000000"/>
        <rFont val="Times New Roman"/>
        <family val="1"/>
      </rPr>
      <t>r</t>
    </r>
    <r>
      <rPr>
        <sz val="20"/>
        <color rgb="FF000000"/>
        <rFont val="Times New Roman"/>
        <family val="1"/>
      </rPr>
      <t xml:space="preserve"> / (1+ m</t>
    </r>
    <r>
      <rPr>
        <vertAlign val="subscript"/>
        <sz val="20"/>
        <color rgb="FF000000"/>
        <rFont val="Times New Roman"/>
        <family val="1"/>
      </rPr>
      <t>r</t>
    </r>
    <r>
      <rPr>
        <sz val="20"/>
        <color rgb="FF000000"/>
        <rFont val="Times New Roman"/>
        <family val="1"/>
      </rPr>
      <t xml:space="preserve"> ) </t>
    </r>
  </si>
  <si>
    <r>
      <t>m</t>
    </r>
    <r>
      <rPr>
        <vertAlign val="subscript"/>
        <sz val="20"/>
        <color rgb="FF000000"/>
        <rFont val="Times New Roman"/>
        <family val="1"/>
      </rPr>
      <t>r</t>
    </r>
    <r>
      <rPr>
        <sz val="20"/>
        <color rgb="FF000000"/>
        <rFont val="Times New Roman"/>
        <family val="1"/>
      </rPr>
      <t xml:space="preserve">' trade margin rate expressed as percentage of  value of good in purchasers' prices </t>
    </r>
  </si>
  <si>
    <t>We want to calculate  mr'</t>
  </si>
  <si>
    <t>Trade margin rate use matrix (as shares of uses in basic prices + excise taxes) mr' calculation with the formula below</t>
  </si>
  <si>
    <t>differnce</t>
  </si>
  <si>
    <t>stage 2 (and 5): our estimate of value added taxes by products and user categories is 1049  instead of 1029 recorded in the governments' accounts, which is consistent with a to high use of electricity.  That is, a to high use of electricity results in a to high estimate of VAT on electricity. So we change VAT of electricity : 26 instead of 47 (and in the use table change VAT of electricity by services 2 instead of 23).</t>
  </si>
  <si>
    <t xml:space="preserve">product B : 267 = 333 *1550 / 1933. </t>
  </si>
  <si>
    <t>So after that, supply of Product A is equal to 9607 = 9924 – 1600 + 1283 ( use 9774)</t>
  </si>
  <si>
    <t>So after that, supply of Product B is equal to 1155 = 1221 – 333 + 267 ( use 1141)</t>
  </si>
  <si>
    <r>
      <t>stage 1 is to reconcile trade margins i.e. 1933 is different from 1550. So if we accept 1550 as true, it is necessary to calculate trade margin for product A and B</t>
    </r>
    <r>
      <rPr>
        <sz val="28"/>
        <color rgb="FF3333CC"/>
        <rFont val="Times New Roman"/>
        <family val="1"/>
      </rPr>
      <t xml:space="preserve"> </t>
    </r>
    <r>
      <rPr>
        <sz val="20"/>
        <color rgb="FF000000"/>
        <rFont val="Times New Roman"/>
        <family val="1"/>
      </rPr>
      <t xml:space="preserve">as product A :1283 = 1600 * 1550  / 1933; </t>
    </r>
  </si>
  <si>
    <t>stage 3 (and 5): from estimation of excise taxes by user categories, we know  total use of electricity most likely is to large. It is possible to decrease excises taxes of electricity 10 - 9 = 1 (in use table) so the total of excises taxes in electricity will be 14.</t>
  </si>
  <si>
    <t>Government</t>
  </si>
  <si>
    <t>IC of electricity in the service sector seem to be suspiciously high. Furthermore, we were informed that, while the information on total IC in the service industry was good,  the breakdown by product was of  poor quality.  Thus, it seem reasonable to try to reconcile supply and use of electricity by adjusting IC of electricity in  the service industry, and counterbalance this adjustment with an upward adjustment of IC of services, since the product balance for this product indicates that total use of services might be to low.Thus we decrease IC at basic price of electricity by services of – 96 and increase  IC of services by services of 96 + (21 of VAT) + 9 of excises duties.</t>
  </si>
  <si>
    <t>stage 5 : We observe that total supply and total use of electricity are not equal.  </t>
  </si>
  <si>
    <t>Stage 4 : The only missing entries in the table above is changes in inventories of goods A and B, which we do not have received any information about. In this case, it seems natural to estimate changes in inventories as total supply in basic prices minus total use (excluding changes in inventories) in basic prices. Which mean that we derive changes in inventories as a residual in each commodity balance in basic prices.</t>
  </si>
  <si>
    <t>For instance in product A : –167 = 9607 (supplies) – 9774 (uses) ( B : 1155 –1141 =14)</t>
  </si>
  <si>
    <t>rate of trade balance</t>
  </si>
  <si>
    <t>vérif. Baseic</t>
  </si>
  <si>
    <t xml:space="preserve"> = Total at basic  prices inckudinfg trade amrgins</t>
  </si>
  <si>
    <t>For ad valorem excise taxes we can use the same method than fir trade margins rates to estimate the entries in the use table.</t>
  </si>
  <si>
    <r>
      <t xml:space="preserve">we know that the tax rate is </t>
    </r>
    <r>
      <rPr>
        <b/>
        <i/>
        <sz val="20"/>
        <color rgb="FF000000"/>
        <rFont val="Times New Roman"/>
        <family val="1"/>
      </rPr>
      <t>10%</t>
    </r>
    <r>
      <rPr>
        <sz val="20"/>
        <color rgb="FF000000"/>
        <rFont val="Times New Roman"/>
        <family val="1"/>
      </rPr>
      <t xml:space="preserve"> of the value of use of electricity at basic prices. </t>
    </r>
  </si>
  <si>
    <t>We apply this method, and remember that we have to convert the tax rate given from being expressed as a share of uses in basic prices to be expressed as a share of uses in basic prices + the excise tax.</t>
  </si>
  <si>
    <t>=&gt;</t>
  </si>
  <si>
    <t>te = 0,10 / (1+0.10)) =</t>
  </si>
  <si>
    <t>0.09  (like for trade margin rate)</t>
  </si>
  <si>
    <t>primary data</t>
  </si>
</sst>
</file>

<file path=xl/styles.xml><?xml version="1.0" encoding="utf-8"?>
<styleSheet xmlns="http://schemas.openxmlformats.org/spreadsheetml/2006/main">
  <numFmts count="2">
    <numFmt numFmtId="164" formatCode="0.0"/>
    <numFmt numFmtId="165" formatCode="0.000"/>
  </numFmts>
  <fonts count="18">
    <font>
      <sz val="11"/>
      <color theme="1"/>
      <name val="Calibri"/>
      <family val="2"/>
      <scheme val="minor"/>
    </font>
    <font>
      <sz val="10"/>
      <name val="Times New Roman"/>
      <family val="1"/>
    </font>
    <font>
      <b/>
      <sz val="10"/>
      <name val="Times New Roman"/>
      <family val="1"/>
    </font>
    <font>
      <b/>
      <sz val="11"/>
      <name val="Times New Roman"/>
      <family val="1"/>
    </font>
    <font>
      <i/>
      <sz val="10"/>
      <name val="Times New Roman"/>
      <family val="1"/>
    </font>
    <font>
      <b/>
      <sz val="12"/>
      <name val="Times New Roman"/>
      <family val="1"/>
    </font>
    <font>
      <sz val="12"/>
      <name val="Times New Roman"/>
      <family val="1"/>
    </font>
    <font>
      <sz val="12"/>
      <name val="Arial"/>
    </font>
    <font>
      <i/>
      <sz val="12"/>
      <name val="Times New Roman"/>
      <family val="1"/>
    </font>
    <font>
      <sz val="12"/>
      <name val="Arial"/>
      <family val="2"/>
    </font>
    <font>
      <b/>
      <i/>
      <sz val="14"/>
      <name val="Times New Roman"/>
      <family val="1"/>
    </font>
    <font>
      <sz val="14"/>
      <name val="CG Times"/>
      <family val="1"/>
    </font>
    <font>
      <sz val="14"/>
      <name val="Arial"/>
      <family val="2"/>
    </font>
    <font>
      <sz val="20"/>
      <color rgb="FF000000"/>
      <name val="Times New Roman"/>
      <family val="1"/>
    </font>
    <font>
      <vertAlign val="subscript"/>
      <sz val="20"/>
      <color rgb="FF000000"/>
      <name val="Times New Roman"/>
      <family val="1"/>
    </font>
    <font>
      <sz val="20"/>
      <color theme="1"/>
      <name val="Symbol"/>
      <family val="1"/>
      <charset val="2"/>
    </font>
    <font>
      <sz val="28"/>
      <color rgb="FF3333CC"/>
      <name val="Times New Roman"/>
      <family val="1"/>
    </font>
    <font>
      <b/>
      <i/>
      <sz val="20"/>
      <color rgb="FF000000"/>
      <name val="Times New Roman"/>
      <family val="1"/>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6"/>
        <bgColor indexed="64"/>
      </patternFill>
    </fill>
  </fills>
  <borders count="52">
    <border>
      <left/>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style="thin">
        <color indexed="8"/>
      </top>
      <bottom/>
      <diagonal/>
    </border>
    <border>
      <left style="thick">
        <color indexed="8"/>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right style="thin">
        <color indexed="8"/>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style="thick">
        <color indexed="8"/>
      </left>
      <right style="thin">
        <color indexed="8"/>
      </right>
      <top/>
      <bottom style="thin">
        <color indexed="8"/>
      </bottom>
      <diagonal/>
    </border>
    <border>
      <left/>
      <right style="thick">
        <color indexed="8"/>
      </right>
      <top/>
      <bottom style="thin">
        <color indexed="8"/>
      </bottom>
      <diagonal/>
    </border>
    <border>
      <left style="thick">
        <color indexed="8"/>
      </left>
      <right style="thin">
        <color indexed="8"/>
      </right>
      <top/>
      <bottom style="thick">
        <color indexed="8"/>
      </bottom>
      <diagonal/>
    </border>
    <border>
      <left/>
      <right/>
      <top/>
      <bottom style="thick">
        <color indexed="8"/>
      </bottom>
      <diagonal/>
    </border>
    <border>
      <left/>
      <right style="thin">
        <color indexed="8"/>
      </right>
      <top/>
      <bottom style="thick">
        <color indexed="8"/>
      </bottom>
      <diagonal/>
    </border>
    <border>
      <left/>
      <right style="thick">
        <color indexed="8"/>
      </right>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diagonal/>
    </border>
    <border>
      <left style="thin">
        <color indexed="8"/>
      </left>
      <right style="thick">
        <color indexed="8"/>
      </right>
      <top style="thin">
        <color indexed="8"/>
      </top>
      <bottom/>
      <diagonal/>
    </border>
    <border>
      <left style="thin">
        <color indexed="8"/>
      </left>
      <right/>
      <top/>
      <bottom style="thick">
        <color indexed="8"/>
      </bottom>
      <diagonal/>
    </border>
    <border>
      <left style="thin">
        <color indexed="8"/>
      </left>
      <right style="thick">
        <color indexed="8"/>
      </right>
      <top/>
      <bottom style="thick">
        <color indexed="8"/>
      </bottom>
      <diagonal/>
    </border>
    <border>
      <left style="thin">
        <color indexed="8"/>
      </left>
      <right style="thin">
        <color indexed="8"/>
      </right>
      <top style="thin">
        <color indexed="8"/>
      </top>
      <bottom style="thin">
        <color indexed="8"/>
      </bottom>
      <diagonal/>
    </border>
    <border>
      <left style="medium">
        <color indexed="64"/>
      </left>
      <right/>
      <top/>
      <bottom/>
      <diagonal/>
    </border>
    <border>
      <left/>
      <right style="medium">
        <color indexed="64"/>
      </right>
      <top/>
      <bottom/>
      <diagonal/>
    </border>
    <border>
      <left style="medium">
        <color indexed="64"/>
      </left>
      <right/>
      <top/>
      <bottom style="thin">
        <color indexed="8"/>
      </bottom>
      <diagonal/>
    </border>
    <border>
      <left style="medium">
        <color indexed="64"/>
      </left>
      <right/>
      <top/>
      <bottom style="medium">
        <color indexed="64"/>
      </bottom>
      <diagonal/>
    </border>
    <border>
      <left style="thin">
        <color indexed="9"/>
      </left>
      <right/>
      <top style="thin">
        <color indexed="8"/>
      </top>
      <bottom/>
      <diagonal/>
    </border>
    <border>
      <left/>
      <right style="thin">
        <color indexed="9"/>
      </right>
      <top style="thin">
        <color indexed="8"/>
      </top>
      <bottom/>
      <diagonal/>
    </border>
    <border>
      <left style="thin">
        <color indexed="8"/>
      </left>
      <right style="thin">
        <color indexed="9"/>
      </right>
      <top/>
      <bottom/>
      <diagonal/>
    </border>
    <border>
      <left style="thin">
        <color indexed="9"/>
      </left>
      <right/>
      <top/>
      <bottom style="thin">
        <color indexed="8"/>
      </bottom>
      <diagonal/>
    </border>
    <border>
      <left/>
      <right style="thin">
        <color indexed="9"/>
      </right>
      <top/>
      <bottom style="thin">
        <color indexed="8"/>
      </bottom>
      <diagonal/>
    </border>
    <border>
      <left/>
      <right style="thin">
        <color indexed="9"/>
      </right>
      <top/>
      <bottom/>
      <diagonal/>
    </border>
    <border>
      <left style="thin">
        <color indexed="8"/>
      </left>
      <right style="thin">
        <color indexed="9"/>
      </right>
      <top/>
      <bottom style="thin">
        <color indexed="8"/>
      </bottom>
      <diagonal/>
    </border>
    <border>
      <left style="thin">
        <color indexed="8"/>
      </left>
      <right style="thin">
        <color indexed="9"/>
      </right>
      <top/>
      <bottom style="thin">
        <color indexed="9"/>
      </bottom>
      <diagonal/>
    </border>
    <border>
      <left/>
      <right style="thin">
        <color indexed="9"/>
      </right>
      <top/>
      <bottom style="thin">
        <color indexed="9"/>
      </bottom>
      <diagonal/>
    </border>
    <border>
      <left/>
      <right style="thin">
        <color indexed="8"/>
      </right>
      <top/>
      <bottom style="thin">
        <color indexed="9"/>
      </bottom>
      <diagonal/>
    </border>
  </borders>
  <cellStyleXfs count="1">
    <xf numFmtId="0" fontId="0" fillId="0" borderId="0"/>
  </cellStyleXfs>
  <cellXfs count="282">
    <xf numFmtId="0" fontId="0" fillId="0" borderId="0" xfId="0"/>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top" wrapText="1"/>
    </xf>
    <xf numFmtId="0" fontId="0" fillId="0" borderId="8" xfId="0" applyBorder="1" applyAlignment="1">
      <alignment vertical="top" wrapText="1"/>
    </xf>
    <xf numFmtId="0" fontId="0" fillId="0" borderId="3" xfId="0" applyBorder="1" applyAlignment="1">
      <alignment vertical="top" wrapText="1"/>
    </xf>
    <xf numFmtId="0" fontId="1" fillId="0" borderId="1" xfId="0" applyFont="1" applyBorder="1" applyAlignment="1">
      <alignment vertical="top" wrapText="1"/>
    </xf>
    <xf numFmtId="0" fontId="1" fillId="0" borderId="4" xfId="0" applyFont="1" applyBorder="1" applyAlignment="1">
      <alignment vertical="top" wrapText="1"/>
    </xf>
    <xf numFmtId="0" fontId="1" fillId="0" borderId="6" xfId="0" applyFont="1" applyBorder="1" applyAlignment="1">
      <alignment vertical="top" wrapText="1"/>
    </xf>
    <xf numFmtId="0" fontId="1" fillId="0" borderId="0" xfId="0" applyFont="1" applyAlignment="1">
      <alignment horizontal="right" vertical="top" wrapText="1"/>
    </xf>
    <xf numFmtId="0" fontId="1" fillId="0" borderId="0" xfId="0" applyFont="1" applyAlignment="1">
      <alignment vertical="top" wrapText="1"/>
    </xf>
    <xf numFmtId="0" fontId="1" fillId="0" borderId="4" xfId="0" applyFont="1" applyBorder="1" applyAlignment="1">
      <alignment horizontal="right" vertical="top" wrapText="1"/>
    </xf>
    <xf numFmtId="0" fontId="1" fillId="0" borderId="4" xfId="0" applyFont="1" applyBorder="1" applyAlignment="1">
      <alignment vertical="top" wrapText="1"/>
    </xf>
    <xf numFmtId="0" fontId="1" fillId="0" borderId="7" xfId="0" applyFont="1" applyBorder="1" applyAlignment="1">
      <alignment vertical="top" wrapText="1"/>
    </xf>
    <xf numFmtId="0" fontId="1" fillId="0" borderId="3" xfId="0" applyFont="1" applyBorder="1" applyAlignment="1">
      <alignment horizontal="right" vertical="top" wrapText="1"/>
    </xf>
    <xf numFmtId="0" fontId="1" fillId="0" borderId="8" xfId="0" applyFont="1" applyBorder="1" applyAlignment="1">
      <alignment horizontal="right" vertical="top" wrapText="1"/>
    </xf>
    <xf numFmtId="0" fontId="1" fillId="0" borderId="3" xfId="0" quotePrefix="1" applyFont="1" applyBorder="1" applyAlignment="1">
      <alignment horizontal="right" vertical="top" wrapText="1"/>
    </xf>
    <xf numFmtId="0" fontId="2" fillId="0" borderId="0" xfId="0" applyFont="1" applyAlignment="1">
      <alignment horizontal="right" vertical="top" wrapText="1"/>
    </xf>
    <xf numFmtId="0" fontId="2" fillId="0" borderId="0" xfId="0" applyFont="1" applyAlignment="1">
      <alignment vertical="top" wrapText="1"/>
    </xf>
    <xf numFmtId="0" fontId="3" fillId="0" borderId="7" xfId="0" applyFont="1" applyBorder="1" applyAlignment="1">
      <alignment vertical="top" wrapText="1"/>
    </xf>
    <xf numFmtId="0" fontId="1" fillId="0" borderId="8" xfId="0" applyFont="1" applyBorder="1" applyAlignment="1">
      <alignment horizontal="center" vertical="top" wrapText="1"/>
    </xf>
    <xf numFmtId="0" fontId="4" fillId="0" borderId="0" xfId="0" applyFont="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0" xfId="0" applyFont="1" applyAlignment="1">
      <alignment horizontal="right" vertical="top" wrapText="1"/>
    </xf>
    <xf numFmtId="0" fontId="4" fillId="0" borderId="4" xfId="0" applyFont="1" applyBorder="1" applyAlignment="1">
      <alignment horizontal="right" vertical="top" wrapText="1"/>
    </xf>
    <xf numFmtId="0" fontId="4" fillId="0" borderId="7" xfId="0" applyFont="1" applyBorder="1" applyAlignment="1">
      <alignment vertical="top" wrapText="1"/>
    </xf>
    <xf numFmtId="0" fontId="4" fillId="0" borderId="3" xfId="0" applyFont="1" applyBorder="1" applyAlignment="1">
      <alignment horizontal="right" vertical="top" wrapText="1"/>
    </xf>
    <xf numFmtId="0" fontId="4" fillId="0" borderId="8" xfId="0" applyFont="1" applyBorder="1" applyAlignment="1">
      <alignment horizontal="right" vertical="top" wrapText="1"/>
    </xf>
    <xf numFmtId="0" fontId="3" fillId="0" borderId="11" xfId="0" applyFont="1" applyBorder="1" applyAlignment="1">
      <alignment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0" xfId="0" applyFont="1" applyBorder="1" applyAlignment="1">
      <alignment horizontal="center" vertical="top" wrapText="1"/>
    </xf>
    <xf numFmtId="0" fontId="1" fillId="0" borderId="19" xfId="0" applyFont="1" applyBorder="1" applyAlignment="1">
      <alignment horizontal="center" vertical="top" wrapText="1"/>
    </xf>
    <xf numFmtId="0" fontId="0" fillId="0" borderId="0" xfId="0" applyBorder="1" applyAlignment="1">
      <alignment vertical="top" wrapText="1"/>
    </xf>
    <xf numFmtId="0" fontId="1" fillId="0" borderId="18" xfId="0" applyFont="1" applyBorder="1" applyAlignment="1">
      <alignment vertical="top" wrapText="1"/>
    </xf>
    <xf numFmtId="0" fontId="1" fillId="0" borderId="0" xfId="0" applyFont="1" applyBorder="1" applyAlignment="1">
      <alignment horizontal="right" vertical="top" wrapText="1"/>
    </xf>
    <xf numFmtId="0" fontId="1" fillId="0" borderId="0" xfId="0" applyFont="1" applyBorder="1" applyAlignment="1">
      <alignment vertical="top" wrapText="1"/>
    </xf>
    <xf numFmtId="0" fontId="1" fillId="0" borderId="9" xfId="0" applyFont="1" applyBorder="1" applyAlignment="1">
      <alignment vertical="top" wrapText="1"/>
    </xf>
    <xf numFmtId="0" fontId="1" fillId="0" borderId="20"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8"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horizontal="right" vertical="top" wrapText="1"/>
    </xf>
    <xf numFmtId="0" fontId="2" fillId="0" borderId="24" xfId="0" applyFont="1" applyBorder="1" applyAlignment="1">
      <alignment horizontal="right" vertical="top" wrapText="1"/>
    </xf>
    <xf numFmtId="0" fontId="1" fillId="0" borderId="11" xfId="0" applyFont="1" applyBorder="1" applyAlignment="1">
      <alignment vertical="top" wrapText="1"/>
    </xf>
    <xf numFmtId="0" fontId="1" fillId="0" borderId="27" xfId="0" applyFont="1" applyBorder="1" applyAlignment="1">
      <alignment horizontal="center" vertical="top" wrapText="1"/>
    </xf>
    <xf numFmtId="0" fontId="3" fillId="0" borderId="28" xfId="0" applyFont="1" applyBorder="1" applyAlignment="1">
      <alignment vertical="top" wrapText="1"/>
    </xf>
    <xf numFmtId="0" fontId="1" fillId="0" borderId="32" xfId="0" applyFont="1" applyBorder="1" applyAlignment="1">
      <alignment horizontal="center" vertical="top" wrapText="1"/>
    </xf>
    <xf numFmtId="0" fontId="1" fillId="0" borderId="28" xfId="0" applyFont="1" applyBorder="1" applyAlignment="1">
      <alignment horizontal="center" vertical="top" wrapText="1"/>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0" fillId="0" borderId="32" xfId="0" applyBorder="1"/>
    <xf numFmtId="0" fontId="1" fillId="0" borderId="29" xfId="0" applyFont="1" applyBorder="1" applyAlignment="1">
      <alignment horizontal="center" vertical="top" wrapText="1"/>
    </xf>
    <xf numFmtId="0" fontId="0" fillId="0" borderId="30" xfId="0" applyBorder="1" applyAlignment="1">
      <alignment vertical="top" wrapText="1"/>
    </xf>
    <xf numFmtId="0" fontId="0" fillId="0" borderId="32" xfId="0"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29" xfId="0" applyFont="1" applyBorder="1" applyAlignment="1">
      <alignment horizontal="right" vertical="top" wrapText="1"/>
    </xf>
    <xf numFmtId="0" fontId="1" fillId="0" borderId="30" xfId="0" applyFont="1" applyBorder="1" applyAlignment="1">
      <alignment horizontal="right" vertical="top" wrapText="1"/>
    </xf>
    <xf numFmtId="0" fontId="1" fillId="0" borderId="31" xfId="0" applyFont="1" applyBorder="1" applyAlignment="1">
      <alignment horizontal="right" vertical="top" wrapText="1"/>
    </xf>
    <xf numFmtId="0" fontId="2" fillId="2" borderId="32" xfId="0" applyFont="1" applyFill="1" applyBorder="1" applyAlignment="1">
      <alignment horizontal="righ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0" xfId="0" applyFont="1" applyBorder="1" applyAlignment="1">
      <alignment horizontal="right" vertical="top" wrapText="1"/>
    </xf>
    <xf numFmtId="0" fontId="4" fillId="0" borderId="31" xfId="0" applyFont="1" applyBorder="1" applyAlignment="1">
      <alignment horizontal="right" vertical="top" wrapText="1"/>
    </xf>
    <xf numFmtId="0" fontId="4" fillId="0" borderId="29" xfId="0" applyFont="1" applyBorder="1" applyAlignment="1">
      <alignment horizontal="right" vertical="top" wrapText="1"/>
    </xf>
    <xf numFmtId="0" fontId="4" fillId="0" borderId="32" xfId="0" applyFont="1" applyBorder="1" applyAlignment="1">
      <alignment horizontal="right" vertical="top" wrapText="1"/>
    </xf>
    <xf numFmtId="0" fontId="4" fillId="2" borderId="29" xfId="0" applyFont="1" applyFill="1" applyBorder="1" applyAlignment="1">
      <alignment horizontal="right" vertical="top" wrapText="1"/>
    </xf>
    <xf numFmtId="0" fontId="4" fillId="2" borderId="32" xfId="0" applyFont="1" applyFill="1" applyBorder="1" applyAlignment="1">
      <alignment horizontal="right" vertical="top" wrapText="1"/>
    </xf>
    <xf numFmtId="0" fontId="2" fillId="0" borderId="32" xfId="0" applyFont="1" applyBorder="1" applyAlignment="1">
      <alignment horizontal="right" vertical="top" wrapText="1"/>
    </xf>
    <xf numFmtId="0" fontId="4" fillId="0" borderId="31" xfId="0" applyFont="1" applyBorder="1" applyAlignment="1">
      <alignment vertical="top" wrapText="1"/>
    </xf>
    <xf numFmtId="0" fontId="1" fillId="0" borderId="32" xfId="0" applyFont="1" applyBorder="1" applyAlignment="1">
      <alignment horizontal="right" vertical="top" wrapText="1"/>
    </xf>
    <xf numFmtId="0" fontId="4" fillId="2" borderId="29" xfId="0" quotePrefix="1" applyFont="1" applyFill="1" applyBorder="1" applyAlignment="1">
      <alignment horizontal="righ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10" xfId="0" applyFont="1" applyBorder="1" applyAlignment="1">
      <alignment horizontal="right" vertical="top" wrapText="1"/>
    </xf>
    <xf numFmtId="0" fontId="4" fillId="2" borderId="34" xfId="0" applyFont="1" applyFill="1" applyBorder="1" applyAlignment="1">
      <alignment horizontal="right" vertical="top" wrapText="1"/>
    </xf>
    <xf numFmtId="0" fontId="1" fillId="0" borderId="22" xfId="0" applyFont="1" applyBorder="1" applyAlignment="1">
      <alignment vertical="top" wrapText="1"/>
    </xf>
    <xf numFmtId="0" fontId="1" fillId="0" borderId="35" xfId="0" applyFont="1" applyBorder="1" applyAlignment="1">
      <alignment horizontal="right" vertical="top" wrapText="1"/>
    </xf>
    <xf numFmtId="0" fontId="2" fillId="0" borderId="36" xfId="0" applyFont="1" applyBorder="1" applyAlignment="1">
      <alignment horizontal="right" vertical="top" wrapText="1"/>
    </xf>
    <xf numFmtId="0" fontId="5" fillId="0" borderId="37" xfId="0" applyFont="1" applyBorder="1" applyAlignment="1">
      <alignment vertical="top" wrapText="1"/>
    </xf>
    <xf numFmtId="0" fontId="6" fillId="0" borderId="1" xfId="0" applyFont="1" applyBorder="1" applyAlignment="1">
      <alignmen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 xfId="0" applyFont="1" applyBorder="1" applyAlignment="1">
      <alignment horizontal="center" vertical="top" wrapText="1"/>
    </xf>
    <xf numFmtId="0" fontId="7" fillId="0" borderId="0" xfId="0" applyFont="1" applyBorder="1"/>
    <xf numFmtId="0" fontId="7" fillId="0" borderId="7" xfId="0" applyFont="1" applyBorder="1" applyAlignment="1">
      <alignment vertical="top" wrapText="1"/>
    </xf>
    <xf numFmtId="0" fontId="6" fillId="0" borderId="3" xfId="0" applyFont="1" applyBorder="1" applyAlignment="1">
      <alignment horizontal="center" vertical="top" wrapText="1"/>
    </xf>
    <xf numFmtId="0" fontId="6" fillId="0" borderId="8" xfId="0" applyFont="1" applyBorder="1" applyAlignment="1">
      <alignment horizontal="center" vertical="top" wrapText="1"/>
    </xf>
    <xf numFmtId="0" fontId="7" fillId="0" borderId="3" xfId="0" applyFont="1" applyBorder="1" applyAlignment="1">
      <alignment vertical="top" wrapText="1"/>
    </xf>
    <xf numFmtId="0" fontId="7" fillId="0" borderId="8" xfId="0" applyFont="1" applyBorder="1" applyAlignment="1">
      <alignment vertical="top" wrapText="1"/>
    </xf>
    <xf numFmtId="0" fontId="6" fillId="0" borderId="0" xfId="0" applyFont="1" applyBorder="1" applyAlignment="1">
      <alignment horizontal="right" vertical="top" wrapText="1"/>
    </xf>
    <xf numFmtId="0" fontId="6" fillId="0" borderId="4" xfId="0" applyFont="1" applyBorder="1" applyAlignment="1">
      <alignment horizontal="right" vertical="top" wrapText="1"/>
    </xf>
    <xf numFmtId="0" fontId="6" fillId="0" borderId="7" xfId="0" applyFont="1" applyBorder="1" applyAlignment="1">
      <alignment vertical="top" wrapText="1"/>
    </xf>
    <xf numFmtId="0" fontId="6" fillId="0" borderId="3" xfId="0" applyFont="1" applyBorder="1" applyAlignment="1">
      <alignment horizontal="right" vertical="top" wrapText="1"/>
    </xf>
    <xf numFmtId="0" fontId="6" fillId="0" borderId="8" xfId="0" applyFont="1" applyBorder="1" applyAlignment="1">
      <alignment horizontal="right" vertical="top" wrapText="1"/>
    </xf>
    <xf numFmtId="0" fontId="5" fillId="0" borderId="7" xfId="0" applyFont="1" applyBorder="1" applyAlignment="1">
      <alignment vertical="top" wrapText="1"/>
    </xf>
    <xf numFmtId="0" fontId="6" fillId="0" borderId="3" xfId="0" applyFont="1" applyBorder="1" applyAlignment="1">
      <alignment horizontal="center" vertical="top" wrapText="1"/>
    </xf>
    <xf numFmtId="0" fontId="6" fillId="0" borderId="8" xfId="0" applyFont="1" applyBorder="1" applyAlignment="1">
      <alignment horizontal="center" vertical="top" wrapText="1"/>
    </xf>
    <xf numFmtId="0" fontId="6" fillId="0" borderId="0" xfId="0" applyFont="1" applyAlignment="1">
      <alignment horizontal="center" vertical="top" wrapText="1"/>
    </xf>
    <xf numFmtId="0" fontId="7" fillId="0" borderId="3" xfId="0" applyFont="1" applyBorder="1" applyAlignment="1">
      <alignment vertical="top" wrapText="1"/>
    </xf>
    <xf numFmtId="0" fontId="7" fillId="0" borderId="8" xfId="0" applyFont="1" applyBorder="1" applyAlignment="1">
      <alignment vertical="top" wrapText="1"/>
    </xf>
    <xf numFmtId="0" fontId="7" fillId="0" borderId="4" xfId="0" applyFont="1" applyBorder="1" applyAlignment="1">
      <alignment vertical="top" wrapText="1"/>
    </xf>
    <xf numFmtId="0" fontId="6" fillId="0" borderId="0" xfId="0" applyFont="1" applyAlignment="1">
      <alignment horizontal="right" vertical="top" wrapText="1"/>
    </xf>
    <xf numFmtId="0" fontId="6" fillId="0" borderId="0" xfId="0" applyFont="1" applyAlignment="1">
      <alignment vertical="top" wrapText="1"/>
    </xf>
    <xf numFmtId="0" fontId="8" fillId="0" borderId="1" xfId="0" applyFont="1" applyBorder="1" applyAlignment="1">
      <alignment horizontal="center" vertical="top" wrapText="1"/>
    </xf>
    <xf numFmtId="0" fontId="8" fillId="0" borderId="0" xfId="0" applyFont="1" applyAlignment="1">
      <alignment horizontal="right" vertical="top" wrapText="1"/>
    </xf>
    <xf numFmtId="0" fontId="8" fillId="0" borderId="4" xfId="0" applyFont="1" applyBorder="1" applyAlignment="1">
      <alignment horizontal="right" vertical="top" wrapText="1"/>
    </xf>
    <xf numFmtId="0" fontId="8" fillId="0" borderId="0" xfId="0" applyFont="1" applyAlignment="1">
      <alignment horizontal="center" vertical="top" wrapText="1"/>
    </xf>
    <xf numFmtId="0" fontId="6" fillId="0" borderId="4" xfId="0" applyFont="1" applyBorder="1" applyAlignment="1">
      <alignment vertical="top" wrapText="1"/>
    </xf>
    <xf numFmtId="0" fontId="8" fillId="0" borderId="0" xfId="0" applyFont="1" applyAlignment="1">
      <alignment vertical="top" wrapText="1"/>
    </xf>
    <xf numFmtId="0" fontId="8" fillId="0" borderId="7" xfId="0" applyFont="1" applyBorder="1" applyAlignment="1">
      <alignment horizontal="center" vertical="top" wrapText="1"/>
    </xf>
    <xf numFmtId="0" fontId="8" fillId="0" borderId="3" xfId="0" applyFont="1" applyBorder="1" applyAlignment="1">
      <alignment horizontal="right" vertical="top" wrapText="1"/>
    </xf>
    <xf numFmtId="0" fontId="8" fillId="0" borderId="8" xfId="0" applyFont="1" applyBorder="1" applyAlignment="1">
      <alignment horizontal="right" vertical="top" wrapText="1"/>
    </xf>
    <xf numFmtId="0" fontId="8" fillId="0" borderId="3" xfId="0" applyFont="1" applyBorder="1" applyAlignment="1">
      <alignment horizontal="center" vertical="top" wrapText="1"/>
    </xf>
    <xf numFmtId="0" fontId="7" fillId="0" borderId="0" xfId="0" applyFont="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3" xfId="0" applyFont="1" applyBorder="1" applyAlignment="1">
      <alignment vertical="top" wrapText="1"/>
    </xf>
    <xf numFmtId="0" fontId="6" fillId="0" borderId="8" xfId="0" applyFont="1" applyBorder="1" applyAlignment="1">
      <alignment vertical="top" wrapText="1"/>
    </xf>
    <xf numFmtId="0" fontId="5" fillId="0" borderId="1" xfId="0" applyFont="1" applyBorder="1" applyAlignment="1">
      <alignmen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0" fillId="0" borderId="3" xfId="0" applyBorder="1" applyAlignment="1">
      <alignment vertical="top" wrapText="1"/>
    </xf>
    <xf numFmtId="0" fontId="0" fillId="0" borderId="8" xfId="0" applyBorder="1" applyAlignment="1">
      <alignment vertical="top" wrapText="1"/>
    </xf>
    <xf numFmtId="0" fontId="1" fillId="3" borderId="38" xfId="0" applyFont="1" applyFill="1" applyBorder="1" applyAlignment="1">
      <alignment horizontal="right" vertical="top" wrapText="1"/>
    </xf>
    <xf numFmtId="0" fontId="1" fillId="3" borderId="0" xfId="0" applyFont="1" applyFill="1" applyBorder="1" applyAlignment="1">
      <alignment vertical="top" wrapText="1"/>
    </xf>
    <xf numFmtId="0" fontId="1" fillId="3" borderId="38" xfId="0" applyFont="1" applyFill="1" applyBorder="1" applyAlignment="1">
      <alignment vertical="top" wrapText="1"/>
    </xf>
    <xf numFmtId="0" fontId="1" fillId="3" borderId="0" xfId="0" applyFont="1" applyFill="1" applyBorder="1" applyAlignment="1">
      <alignment horizontal="right" vertical="top" wrapText="1"/>
    </xf>
    <xf numFmtId="0" fontId="1" fillId="3" borderId="3" xfId="0" applyFont="1" applyFill="1" applyBorder="1" applyAlignment="1">
      <alignment horizontal="right" vertical="top" wrapText="1"/>
    </xf>
    <xf numFmtId="0" fontId="1" fillId="3" borderId="41" xfId="0" applyFont="1" applyFill="1" applyBorder="1" applyAlignment="1">
      <alignment horizontal="right" vertical="top" wrapText="1"/>
    </xf>
    <xf numFmtId="0" fontId="1" fillId="4" borderId="39" xfId="0" applyFont="1" applyFill="1" applyBorder="1" applyAlignment="1">
      <alignment horizontal="right" vertical="top" wrapText="1"/>
    </xf>
    <xf numFmtId="0" fontId="1" fillId="4" borderId="39" xfId="0" applyFont="1" applyFill="1" applyBorder="1" applyAlignment="1">
      <alignment vertical="top" wrapText="1"/>
    </xf>
    <xf numFmtId="0" fontId="1" fillId="3" borderId="40" xfId="0" applyFont="1" applyFill="1" applyBorder="1" applyAlignment="1">
      <alignment vertical="top" wrapText="1"/>
    </xf>
    <xf numFmtId="0" fontId="1" fillId="3" borderId="3" xfId="0" applyFont="1" applyFill="1" applyBorder="1" applyAlignment="1">
      <alignment vertical="top" wrapText="1"/>
    </xf>
    <xf numFmtId="0" fontId="1" fillId="4" borderId="41" xfId="0" applyFont="1" applyFill="1" applyBorder="1" applyAlignment="1">
      <alignment horizontal="right" vertical="top" wrapText="1"/>
    </xf>
    <xf numFmtId="0" fontId="6" fillId="3" borderId="0" xfId="0" applyFont="1" applyFill="1" applyAlignment="1">
      <alignment horizontal="right" vertical="top" wrapText="1"/>
    </xf>
    <xf numFmtId="0" fontId="6" fillId="3" borderId="4" xfId="0" applyFont="1" applyFill="1" applyBorder="1" applyAlignment="1">
      <alignment horizontal="right" vertical="top" wrapText="1"/>
    </xf>
    <xf numFmtId="0" fontId="6" fillId="3" borderId="3" xfId="0" applyFont="1" applyFill="1" applyBorder="1" applyAlignment="1">
      <alignment horizontal="right" vertical="top" wrapText="1"/>
    </xf>
    <xf numFmtId="0" fontId="6" fillId="5" borderId="0" xfId="0" applyFont="1" applyFill="1" applyAlignment="1">
      <alignment horizontal="right" vertical="top" wrapText="1"/>
    </xf>
    <xf numFmtId="0" fontId="6" fillId="5" borderId="3" xfId="0" applyFont="1" applyFill="1" applyBorder="1" applyAlignment="1">
      <alignment horizontal="right" vertical="top" wrapText="1"/>
    </xf>
    <xf numFmtId="0" fontId="6" fillId="4" borderId="4" xfId="0" applyFont="1" applyFill="1" applyBorder="1" applyAlignment="1">
      <alignment horizontal="right" vertical="top" wrapText="1"/>
    </xf>
    <xf numFmtId="0" fontId="6" fillId="4" borderId="8" xfId="0" applyFont="1" applyFill="1" applyBorder="1" applyAlignment="1">
      <alignment horizontal="right" vertical="top" wrapText="1"/>
    </xf>
    <xf numFmtId="0" fontId="6" fillId="5" borderId="8" xfId="0" applyFont="1" applyFill="1" applyBorder="1" applyAlignment="1">
      <alignment horizontal="right" vertical="top" wrapText="1"/>
    </xf>
    <xf numFmtId="0" fontId="9" fillId="0" borderId="4" xfId="0" applyFont="1" applyBorder="1" applyAlignment="1">
      <alignment vertical="top" wrapText="1"/>
    </xf>
    <xf numFmtId="0" fontId="9" fillId="0" borderId="3" xfId="0" applyFont="1" applyBorder="1" applyAlignment="1">
      <alignment vertical="top" wrapText="1"/>
    </xf>
    <xf numFmtId="0" fontId="9" fillId="0" borderId="8" xfId="0" applyFont="1" applyBorder="1" applyAlignment="1">
      <alignment vertical="top" wrapText="1"/>
    </xf>
    <xf numFmtId="0" fontId="8" fillId="3" borderId="0" xfId="0" applyFont="1" applyFill="1" applyAlignment="1">
      <alignment horizontal="right" vertical="top" wrapText="1"/>
    </xf>
    <xf numFmtId="0" fontId="10" fillId="0" borderId="0" xfId="0" applyFont="1"/>
    <xf numFmtId="0" fontId="11" fillId="0" borderId="44" xfId="0" applyFont="1" applyBorder="1" applyAlignment="1">
      <alignment vertical="top" wrapText="1"/>
    </xf>
    <xf numFmtId="0" fontId="11" fillId="0" borderId="47" xfId="0" applyFont="1" applyBorder="1" applyAlignment="1">
      <alignment vertical="top" wrapText="1"/>
    </xf>
    <xf numFmtId="0" fontId="11" fillId="0" borderId="43" xfId="0" applyFont="1" applyBorder="1" applyAlignment="1">
      <alignment vertical="top" wrapText="1"/>
    </xf>
    <xf numFmtId="0" fontId="11" fillId="0" borderId="4" xfId="0" applyFont="1" applyBorder="1" applyAlignment="1">
      <alignment vertical="top" wrapText="1"/>
    </xf>
    <xf numFmtId="0" fontId="12" fillId="0" borderId="44" xfId="0" applyFont="1" applyBorder="1" applyAlignment="1">
      <alignment vertical="top" wrapText="1"/>
    </xf>
    <xf numFmtId="0" fontId="11" fillId="0" borderId="47" xfId="0" applyFont="1" applyBorder="1" applyAlignment="1">
      <alignment horizontal="center" vertical="top" wrapText="1"/>
    </xf>
    <xf numFmtId="0" fontId="11" fillId="0" borderId="4" xfId="0" applyFont="1" applyBorder="1" applyAlignment="1">
      <alignment horizontal="center" vertical="top" wrapText="1"/>
    </xf>
    <xf numFmtId="0" fontId="12" fillId="0" borderId="48" xfId="0" applyFont="1" applyBorder="1" applyAlignment="1">
      <alignment vertical="top" wrapText="1"/>
    </xf>
    <xf numFmtId="0" fontId="12" fillId="0" borderId="46" xfId="0" applyFont="1" applyBorder="1" applyAlignment="1">
      <alignment vertical="top" wrapText="1"/>
    </xf>
    <xf numFmtId="0" fontId="11" fillId="0" borderId="46" xfId="0" applyFont="1" applyBorder="1" applyAlignment="1">
      <alignment horizontal="center" vertical="top" wrapText="1"/>
    </xf>
    <xf numFmtId="0" fontId="11" fillId="0" borderId="8" xfId="0" applyFont="1" applyBorder="1" applyAlignment="1">
      <alignment horizontal="center" vertical="top" wrapText="1"/>
    </xf>
    <xf numFmtId="0" fontId="11" fillId="0" borderId="49" xfId="0" applyFont="1" applyBorder="1" applyAlignment="1">
      <alignment vertical="top" wrapText="1"/>
    </xf>
    <xf numFmtId="9" fontId="11" fillId="0" borderId="50" xfId="0" applyNumberFormat="1" applyFont="1" applyBorder="1" applyAlignment="1">
      <alignment horizontal="center" vertical="top" wrapText="1"/>
    </xf>
    <xf numFmtId="0" fontId="11" fillId="0" borderId="50" xfId="0" applyFont="1" applyBorder="1" applyAlignment="1">
      <alignment horizontal="center" vertical="top" wrapText="1"/>
    </xf>
    <xf numFmtId="9" fontId="11" fillId="0" borderId="51" xfId="0" applyNumberFormat="1" applyFont="1" applyBorder="1" applyAlignment="1">
      <alignment horizontal="center" vertical="top" wrapText="1"/>
    </xf>
    <xf numFmtId="0" fontId="11" fillId="0" borderId="48" xfId="0" applyFont="1" applyBorder="1" applyAlignment="1">
      <alignment vertical="top" wrapText="1"/>
    </xf>
    <xf numFmtId="9" fontId="11" fillId="0" borderId="46" xfId="0" applyNumberFormat="1" applyFont="1" applyBorder="1" applyAlignment="1">
      <alignment horizontal="center" vertical="top" wrapText="1"/>
    </xf>
    <xf numFmtId="9" fontId="11" fillId="0" borderId="8" xfId="0" applyNumberFormat="1" applyFont="1" applyBorder="1" applyAlignment="1">
      <alignment horizontal="center" vertical="top" wrapText="1"/>
    </xf>
    <xf numFmtId="164" fontId="11" fillId="0" borderId="50" xfId="0" applyNumberFormat="1" applyFont="1" applyBorder="1" applyAlignment="1">
      <alignment horizontal="center" vertical="top" wrapText="1"/>
    </xf>
    <xf numFmtId="164" fontId="11" fillId="0" borderId="51" xfId="0" applyNumberFormat="1" applyFont="1" applyBorder="1" applyAlignment="1">
      <alignment horizontal="center" vertical="top" wrapText="1"/>
    </xf>
    <xf numFmtId="164" fontId="11" fillId="0" borderId="46" xfId="0" applyNumberFormat="1" applyFont="1" applyBorder="1" applyAlignment="1">
      <alignment horizontal="center" vertical="top" wrapText="1"/>
    </xf>
    <xf numFmtId="164" fontId="11" fillId="0" borderId="8" xfId="0" applyNumberFormat="1" applyFont="1" applyBorder="1" applyAlignment="1">
      <alignment horizontal="center" vertical="top" wrapText="1"/>
    </xf>
    <xf numFmtId="165" fontId="6" fillId="0" borderId="0" xfId="0" applyNumberFormat="1" applyFont="1" applyBorder="1" applyAlignment="1">
      <alignment horizontal="right" vertical="top" wrapText="1"/>
    </xf>
    <xf numFmtId="0" fontId="13" fillId="0" borderId="0" xfId="0" applyFont="1"/>
    <xf numFmtId="0" fontId="13" fillId="0" borderId="0" xfId="0" applyFont="1" applyAlignment="1">
      <alignment horizontal="left" readingOrder="1"/>
    </xf>
    <xf numFmtId="0" fontId="15" fillId="0" borderId="0" xfId="0" applyFont="1" applyAlignment="1">
      <alignment horizontal="left" readingOrder="1"/>
    </xf>
    <xf numFmtId="0" fontId="4" fillId="3" borderId="0" xfId="0" applyFont="1" applyFill="1" applyAlignment="1">
      <alignment horizontal="right" vertical="top" wrapText="1"/>
    </xf>
    <xf numFmtId="0" fontId="4" fillId="3" borderId="4" xfId="0" applyFont="1" applyFill="1" applyBorder="1" applyAlignment="1">
      <alignment horizontal="right" vertical="top" wrapText="1"/>
    </xf>
    <xf numFmtId="0" fontId="4" fillId="3" borderId="3" xfId="0" applyFont="1" applyFill="1" applyBorder="1" applyAlignment="1">
      <alignment horizontal="right" vertical="top" wrapText="1"/>
    </xf>
    <xf numFmtId="0" fontId="2" fillId="8" borderId="0" xfId="0" applyFont="1" applyFill="1" applyAlignment="1">
      <alignment horizontal="right" vertical="top" wrapText="1"/>
    </xf>
    <xf numFmtId="0" fontId="2" fillId="7" borderId="19" xfId="0" applyFont="1" applyFill="1" applyBorder="1" applyAlignment="1">
      <alignment horizontal="right" vertical="top" wrapText="1"/>
    </xf>
    <xf numFmtId="0" fontId="2" fillId="7" borderId="21" xfId="0" applyFont="1" applyFill="1" applyBorder="1" applyAlignment="1">
      <alignment horizontal="right" vertical="top" wrapText="1"/>
    </xf>
    <xf numFmtId="0" fontId="2" fillId="7" borderId="25" xfId="0" applyFont="1" applyFill="1" applyBorder="1" applyAlignment="1">
      <alignment horizontal="right" vertical="top" wrapText="1"/>
    </xf>
    <xf numFmtId="0" fontId="4" fillId="7" borderId="30" xfId="0" quotePrefix="1" applyFont="1" applyFill="1" applyBorder="1" applyAlignment="1">
      <alignment horizontal="right" vertical="top" wrapText="1"/>
    </xf>
    <xf numFmtId="0" fontId="1" fillId="7" borderId="0" xfId="0" applyFont="1" applyFill="1" applyBorder="1" applyAlignment="1">
      <alignment horizontal="right" vertical="top" wrapText="1"/>
    </xf>
    <xf numFmtId="0" fontId="4" fillId="7" borderId="32" xfId="0" applyFont="1" applyFill="1" applyBorder="1" applyAlignment="1">
      <alignment horizontal="right" vertical="top" wrapText="1"/>
    </xf>
    <xf numFmtId="0" fontId="1" fillId="7" borderId="30" xfId="0" applyFont="1" applyFill="1" applyBorder="1" applyAlignment="1">
      <alignment horizontal="right" vertical="top" wrapText="1"/>
    </xf>
    <xf numFmtId="0" fontId="2" fillId="3" borderId="32" xfId="0" applyFont="1" applyFill="1" applyBorder="1" applyAlignment="1">
      <alignment horizontal="right" vertical="top" wrapText="1"/>
    </xf>
    <xf numFmtId="0" fontId="1" fillId="9" borderId="30" xfId="0" quotePrefix="1" applyFont="1" applyFill="1" applyBorder="1" applyAlignment="1">
      <alignment horizontal="right" vertical="top" wrapText="1"/>
    </xf>
    <xf numFmtId="0" fontId="1" fillId="7" borderId="0" xfId="0" applyFont="1" applyFill="1" applyAlignment="1">
      <alignment horizontal="right" vertical="top" wrapText="1"/>
    </xf>
    <xf numFmtId="0" fontId="4" fillId="4" borderId="29" xfId="0" applyFont="1" applyFill="1" applyBorder="1" applyAlignment="1">
      <alignment horizontal="right" vertical="top" wrapText="1"/>
    </xf>
    <xf numFmtId="0" fontId="4" fillId="6" borderId="18" xfId="0" applyFont="1" applyFill="1" applyBorder="1" applyAlignment="1">
      <alignment vertical="top" wrapText="1"/>
    </xf>
    <xf numFmtId="0" fontId="0" fillId="6" borderId="0" xfId="0" applyFill="1"/>
    <xf numFmtId="0" fontId="13" fillId="0" borderId="0" xfId="0" quotePrefix="1" applyFont="1" applyAlignment="1">
      <alignment horizontal="left" readingOrder="1"/>
    </xf>
    <xf numFmtId="0" fontId="1" fillId="3" borderId="38" xfId="0" applyFont="1" applyFill="1" applyBorder="1" applyAlignment="1">
      <alignment vertical="top" wrapText="1"/>
    </xf>
    <xf numFmtId="0" fontId="1" fillId="3" borderId="40" xfId="0" applyFont="1" applyFill="1" applyBorder="1" applyAlignment="1">
      <alignment vertical="top" wrapText="1"/>
    </xf>
    <xf numFmtId="0" fontId="11" fillId="0" borderId="42" xfId="0" applyFont="1" applyBorder="1" applyAlignment="1">
      <alignment vertical="top" wrapText="1"/>
    </xf>
    <xf numFmtId="0" fontId="11" fillId="0" borderId="5" xfId="0" applyFont="1" applyBorder="1" applyAlignment="1">
      <alignment vertical="top" wrapText="1"/>
    </xf>
    <xf numFmtId="0" fontId="11" fillId="0" borderId="43" xfId="0" applyFont="1" applyBorder="1" applyAlignment="1">
      <alignment vertical="top" wrapText="1"/>
    </xf>
    <xf numFmtId="0" fontId="11" fillId="0" borderId="6" xfId="0" applyFont="1" applyBorder="1" applyAlignment="1">
      <alignment vertical="top" wrapText="1"/>
    </xf>
    <xf numFmtId="0" fontId="11" fillId="0" borderId="45" xfId="0" applyFont="1" applyBorder="1" applyAlignment="1">
      <alignment vertical="top" wrapText="1"/>
    </xf>
    <xf numFmtId="0" fontId="11" fillId="0" borderId="3" xfId="0" applyFont="1" applyBorder="1" applyAlignment="1">
      <alignment vertical="top" wrapText="1"/>
    </xf>
    <xf numFmtId="0" fontId="11" fillId="0" borderId="46" xfId="0" applyFont="1" applyBorder="1" applyAlignment="1">
      <alignment vertical="top" wrapText="1"/>
    </xf>
    <xf numFmtId="0" fontId="11" fillId="0" borderId="8" xfId="0" applyFont="1" applyBorder="1" applyAlignment="1">
      <alignment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8" xfId="0" applyFont="1" applyBorder="1" applyAlignment="1">
      <alignment vertical="top" wrapText="1"/>
    </xf>
    <xf numFmtId="0" fontId="6" fillId="0" borderId="10" xfId="0" applyFont="1" applyBorder="1" applyAlignment="1">
      <alignment vertical="top" wrapText="1"/>
    </xf>
    <xf numFmtId="0" fontId="6" fillId="0" borderId="5"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6" fillId="0" borderId="6" xfId="0"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8" xfId="0" applyFont="1" applyBorder="1" applyAlignment="1">
      <alignmen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0" xfId="0" applyFont="1" applyBorder="1" applyAlignment="1">
      <alignment vertical="top" wrapText="1"/>
    </xf>
    <xf numFmtId="0" fontId="1" fillId="0" borderId="5" xfId="0" applyFont="1" applyBorder="1" applyAlignment="1">
      <alignment vertical="top" wrapText="1"/>
    </xf>
    <xf numFmtId="0" fontId="6" fillId="0" borderId="29" xfId="0" applyFont="1" applyBorder="1" applyAlignment="1">
      <alignment horizontal="center" vertical="top" wrapText="1"/>
    </xf>
    <xf numFmtId="0" fontId="6" fillId="0" borderId="30" xfId="0" applyFont="1" applyBorder="1" applyAlignment="1">
      <alignment horizontal="center" vertical="top" wrapText="1"/>
    </xf>
    <xf numFmtId="0" fontId="6" fillId="0" borderId="31" xfId="0" applyFont="1" applyBorder="1" applyAlignment="1">
      <alignment horizontal="center" vertical="top" wrapText="1"/>
    </xf>
    <xf numFmtId="0" fontId="6" fillId="0" borderId="0" xfId="0" applyFont="1" applyBorder="1" applyAlignment="1">
      <alignment horizontal="center" vertical="top" wrapText="1"/>
    </xf>
    <xf numFmtId="0" fontId="2" fillId="0" borderId="10"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1" fillId="0" borderId="6" xfId="0" applyFont="1" applyBorder="1" applyAlignment="1">
      <alignment vertical="top" wrapText="1"/>
    </xf>
    <xf numFmtId="0" fontId="1" fillId="0" borderId="9" xfId="0" applyFont="1" applyBorder="1" applyAlignment="1">
      <alignment horizontal="center" vertical="top" wrapText="1"/>
    </xf>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2" fillId="0" borderId="9" xfId="0" applyFont="1" applyBorder="1" applyAlignment="1">
      <alignment vertical="top" wrapText="1"/>
    </xf>
    <xf numFmtId="0" fontId="2" fillId="0" borderId="4" xfId="0" applyFont="1" applyBorder="1" applyAlignment="1">
      <alignment vertical="top" wrapText="1"/>
    </xf>
    <xf numFmtId="0" fontId="1" fillId="0" borderId="9" xfId="0" applyFont="1" applyBorder="1" applyAlignment="1">
      <alignment vertical="top" wrapText="1"/>
    </xf>
    <xf numFmtId="0" fontId="1" fillId="0" borderId="4" xfId="0" applyFont="1" applyBorder="1" applyAlignment="1">
      <alignment vertical="top" wrapText="1"/>
    </xf>
    <xf numFmtId="0" fontId="4" fillId="0" borderId="4"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1" fillId="0" borderId="31" xfId="0" applyFont="1" applyBorder="1" applyAlignment="1">
      <alignment vertical="top" wrapText="1"/>
    </xf>
    <xf numFmtId="0" fontId="1" fillId="0" borderId="30" xfId="0" applyFont="1" applyBorder="1" applyAlignment="1">
      <alignment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2" fillId="0" borderId="26" xfId="0" applyFont="1" applyBorder="1" applyAlignment="1">
      <alignment vertical="top" wrapText="1"/>
    </xf>
    <xf numFmtId="0" fontId="1" fillId="0" borderId="26" xfId="0" applyFont="1" applyBorder="1" applyAlignment="1">
      <alignment vertical="top" wrapText="1"/>
    </xf>
    <xf numFmtId="0" fontId="1" fillId="0" borderId="29" xfId="0" applyFont="1" applyBorder="1" applyAlignment="1">
      <alignment horizontal="center" vertical="top" wrapText="1"/>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85725</xdr:colOff>
      <xdr:row>10</xdr:row>
      <xdr:rowOff>76200</xdr:rowOff>
    </xdr:from>
    <xdr:to>
      <xdr:col>7</xdr:col>
      <xdr:colOff>276225</xdr:colOff>
      <xdr:row>10</xdr:row>
      <xdr:rowOff>133350</xdr:rowOff>
    </xdr:to>
    <xdr:cxnSp macro="">
      <xdr:nvCxnSpPr>
        <xdr:cNvPr id="2" name="Connecteur droit avec flèche 1"/>
        <xdr:cNvCxnSpPr/>
      </xdr:nvCxnSpPr>
      <xdr:spPr>
        <a:xfrm>
          <a:off x="2371725" y="3076575"/>
          <a:ext cx="3238500" cy="57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19</xdr:row>
      <xdr:rowOff>104775</xdr:rowOff>
    </xdr:from>
    <xdr:to>
      <xdr:col>10</xdr:col>
      <xdr:colOff>628650</xdr:colOff>
      <xdr:row>24</xdr:row>
      <xdr:rowOff>38100</xdr:rowOff>
    </xdr:to>
    <xdr:cxnSp macro="">
      <xdr:nvCxnSpPr>
        <xdr:cNvPr id="3" name="Connecteur droit avec flèche 2"/>
        <xdr:cNvCxnSpPr/>
      </xdr:nvCxnSpPr>
      <xdr:spPr>
        <a:xfrm>
          <a:off x="4676775" y="4686300"/>
          <a:ext cx="3619500" cy="1133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2</xdr:row>
      <xdr:rowOff>190499</xdr:rowOff>
    </xdr:from>
    <xdr:to>
      <xdr:col>12</xdr:col>
      <xdr:colOff>723900</xdr:colOff>
      <xdr:row>7</xdr:row>
      <xdr:rowOff>180975</xdr:rowOff>
    </xdr:to>
    <xdr:sp macro="" textlink="">
      <xdr:nvSpPr>
        <xdr:cNvPr id="2" name="Rectangle 1"/>
        <xdr:cNvSpPr>
          <a:spLocks noChangeArrowheads="1"/>
        </xdr:cNvSpPr>
      </xdr:nvSpPr>
      <xdr:spPr bwMode="auto">
        <a:xfrm>
          <a:off x="9144000" y="571499"/>
          <a:ext cx="723900" cy="942976"/>
        </a:xfrm>
        <a:prstGeom prst="rect">
          <a:avLst/>
        </a:prstGeom>
        <a:solidFill>
          <a:schemeClr val="accent1"/>
        </a:solidFill>
        <a:ln w="9525">
          <a:solidFill>
            <a:schemeClr val="tx1"/>
          </a:solidFill>
          <a:miter lim="800000"/>
          <a:headEnd/>
          <a:tailEnd/>
        </a:ln>
        <a:effectLst/>
      </xdr:spPr>
      <xdr:txBody>
        <a:bodyPr wrap="square" anchor="ctr"/>
        <a:lstStyle>
          <a:defPPr>
            <a:defRPr lang="fr-FR"/>
          </a:defPPr>
          <a:lvl1pPr algn="l" rtl="0" fontAlgn="base">
            <a:spcBef>
              <a:spcPct val="0"/>
            </a:spcBef>
            <a:spcAft>
              <a:spcPct val="0"/>
            </a:spcAft>
            <a:defRPr sz="2400" kern="1200">
              <a:solidFill>
                <a:schemeClr val="tx1"/>
              </a:solidFill>
              <a:latin typeface="Times New Roman" pitchFamily="18" charset="0"/>
              <a:ea typeface="+mn-ea"/>
              <a:cs typeface="+mn-cs"/>
            </a:defRPr>
          </a:lvl1pPr>
          <a:lvl2pPr marL="457200" algn="l" rtl="0" fontAlgn="base">
            <a:spcBef>
              <a:spcPct val="0"/>
            </a:spcBef>
            <a:spcAft>
              <a:spcPct val="0"/>
            </a:spcAft>
            <a:defRPr sz="2400" kern="1200">
              <a:solidFill>
                <a:schemeClr val="tx1"/>
              </a:solidFill>
              <a:latin typeface="Times New Roman" pitchFamily="18" charset="0"/>
              <a:ea typeface="+mn-ea"/>
              <a:cs typeface="+mn-cs"/>
            </a:defRPr>
          </a:lvl2pPr>
          <a:lvl3pPr marL="914400" algn="l" rtl="0" fontAlgn="base">
            <a:spcBef>
              <a:spcPct val="0"/>
            </a:spcBef>
            <a:spcAft>
              <a:spcPct val="0"/>
            </a:spcAft>
            <a:defRPr sz="2400" kern="1200">
              <a:solidFill>
                <a:schemeClr val="tx1"/>
              </a:solidFill>
              <a:latin typeface="Times New Roman" pitchFamily="18" charset="0"/>
              <a:ea typeface="+mn-ea"/>
              <a:cs typeface="+mn-cs"/>
            </a:defRPr>
          </a:lvl3pPr>
          <a:lvl4pPr marL="1371600" algn="l" rtl="0" fontAlgn="base">
            <a:spcBef>
              <a:spcPct val="0"/>
            </a:spcBef>
            <a:spcAft>
              <a:spcPct val="0"/>
            </a:spcAft>
            <a:defRPr sz="2400" kern="1200">
              <a:solidFill>
                <a:schemeClr val="tx1"/>
              </a:solidFill>
              <a:latin typeface="Times New Roman" pitchFamily="18" charset="0"/>
              <a:ea typeface="+mn-ea"/>
              <a:cs typeface="+mn-cs"/>
            </a:defRPr>
          </a:lvl4pPr>
          <a:lvl5pPr marL="1828800" algn="l" rtl="0" fontAlgn="base">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fr-FR" sz="1200">
              <a:solidFill>
                <a:schemeClr val="bg2"/>
              </a:solidFill>
            </a:rPr>
            <a:t>stage 1</a:t>
          </a:r>
        </a:p>
        <a:p>
          <a:pPr algn="ctr"/>
          <a:r>
            <a:rPr lang="fr-FR" sz="1200">
              <a:solidFill>
                <a:schemeClr val="bg2"/>
              </a:solidFill>
            </a:rPr>
            <a:t>1550</a:t>
          </a:r>
        </a:p>
      </xdr:txBody>
    </xdr:sp>
    <xdr:clientData/>
  </xdr:twoCellAnchor>
  <xdr:twoCellAnchor>
    <xdr:from>
      <xdr:col>8</xdr:col>
      <xdr:colOff>123826</xdr:colOff>
      <xdr:row>3</xdr:row>
      <xdr:rowOff>180975</xdr:rowOff>
    </xdr:from>
    <xdr:to>
      <xdr:col>11</xdr:col>
      <xdr:colOff>552451</xdr:colOff>
      <xdr:row>5</xdr:row>
      <xdr:rowOff>28575</xdr:rowOff>
    </xdr:to>
    <xdr:cxnSp macro="">
      <xdr:nvCxnSpPr>
        <xdr:cNvPr id="5" name="Connecteur droit avec flèche 4"/>
        <xdr:cNvCxnSpPr/>
      </xdr:nvCxnSpPr>
      <xdr:spPr>
        <a:xfrm rot="10800000">
          <a:off x="6219826" y="752475"/>
          <a:ext cx="2714625"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6</xdr:row>
      <xdr:rowOff>0</xdr:rowOff>
    </xdr:from>
    <xdr:to>
      <xdr:col>13</xdr:col>
      <xdr:colOff>685800</xdr:colOff>
      <xdr:row>7</xdr:row>
      <xdr:rowOff>266700</xdr:rowOff>
    </xdr:to>
    <xdr:sp macro="" textlink="">
      <xdr:nvSpPr>
        <xdr:cNvPr id="6" name="Rectangle 5"/>
        <xdr:cNvSpPr>
          <a:spLocks noChangeArrowheads="1"/>
        </xdr:cNvSpPr>
      </xdr:nvSpPr>
      <xdr:spPr bwMode="auto">
        <a:xfrm>
          <a:off x="9906000" y="1143000"/>
          <a:ext cx="685800" cy="457200"/>
        </a:xfrm>
        <a:prstGeom prst="rect">
          <a:avLst/>
        </a:prstGeom>
        <a:solidFill>
          <a:schemeClr val="accent1"/>
        </a:solidFill>
        <a:ln w="9525">
          <a:solidFill>
            <a:schemeClr val="tx1"/>
          </a:solidFill>
          <a:miter lim="800000"/>
          <a:headEnd/>
          <a:tailEnd/>
        </a:ln>
        <a:effectLst/>
      </xdr:spPr>
      <xdr:txBody>
        <a:bodyPr wrap="square" anchor="ctr"/>
        <a:lstStyle>
          <a:defPPr>
            <a:defRPr lang="fr-FR"/>
          </a:defPPr>
          <a:lvl1pPr algn="l" rtl="0" fontAlgn="base">
            <a:spcBef>
              <a:spcPct val="0"/>
            </a:spcBef>
            <a:spcAft>
              <a:spcPct val="0"/>
            </a:spcAft>
            <a:defRPr sz="2400" kern="1200">
              <a:solidFill>
                <a:schemeClr val="tx1"/>
              </a:solidFill>
              <a:latin typeface="Times New Roman" pitchFamily="18" charset="0"/>
              <a:ea typeface="+mn-ea"/>
              <a:cs typeface="+mn-cs"/>
            </a:defRPr>
          </a:lvl1pPr>
          <a:lvl2pPr marL="457200" algn="l" rtl="0" fontAlgn="base">
            <a:spcBef>
              <a:spcPct val="0"/>
            </a:spcBef>
            <a:spcAft>
              <a:spcPct val="0"/>
            </a:spcAft>
            <a:defRPr sz="2400" kern="1200">
              <a:solidFill>
                <a:schemeClr val="tx1"/>
              </a:solidFill>
              <a:latin typeface="Times New Roman" pitchFamily="18" charset="0"/>
              <a:ea typeface="+mn-ea"/>
              <a:cs typeface="+mn-cs"/>
            </a:defRPr>
          </a:lvl2pPr>
          <a:lvl3pPr marL="914400" algn="l" rtl="0" fontAlgn="base">
            <a:spcBef>
              <a:spcPct val="0"/>
            </a:spcBef>
            <a:spcAft>
              <a:spcPct val="0"/>
            </a:spcAft>
            <a:defRPr sz="2400" kern="1200">
              <a:solidFill>
                <a:schemeClr val="tx1"/>
              </a:solidFill>
              <a:latin typeface="Times New Roman" pitchFamily="18" charset="0"/>
              <a:ea typeface="+mn-ea"/>
              <a:cs typeface="+mn-cs"/>
            </a:defRPr>
          </a:lvl3pPr>
          <a:lvl4pPr marL="1371600" algn="l" rtl="0" fontAlgn="base">
            <a:spcBef>
              <a:spcPct val="0"/>
            </a:spcBef>
            <a:spcAft>
              <a:spcPct val="0"/>
            </a:spcAft>
            <a:defRPr sz="2400" kern="1200">
              <a:solidFill>
                <a:schemeClr val="tx1"/>
              </a:solidFill>
              <a:latin typeface="Times New Roman" pitchFamily="18" charset="0"/>
              <a:ea typeface="+mn-ea"/>
              <a:cs typeface="+mn-cs"/>
            </a:defRPr>
          </a:lvl4pPr>
          <a:lvl5pPr marL="1828800" algn="l" rtl="0" fontAlgn="base">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fr-FR" sz="1200">
              <a:solidFill>
                <a:schemeClr val="bg1"/>
              </a:solidFill>
            </a:rPr>
            <a:t>stage 2</a:t>
          </a:r>
        </a:p>
        <a:p>
          <a:pPr algn="ctr"/>
          <a:r>
            <a:rPr lang="fr-FR" sz="1200">
              <a:solidFill>
                <a:schemeClr val="bg1"/>
              </a:solidFill>
            </a:rPr>
            <a:t>1028</a:t>
          </a:r>
        </a:p>
      </xdr:txBody>
    </xdr:sp>
    <xdr:clientData/>
  </xdr:twoCellAnchor>
  <xdr:twoCellAnchor>
    <xdr:from>
      <xdr:col>8</xdr:col>
      <xdr:colOff>695325</xdr:colOff>
      <xdr:row>7</xdr:row>
      <xdr:rowOff>285749</xdr:rowOff>
    </xdr:from>
    <xdr:to>
      <xdr:col>12</xdr:col>
      <xdr:colOff>676275</xdr:colOff>
      <xdr:row>8</xdr:row>
      <xdr:rowOff>466724</xdr:rowOff>
    </xdr:to>
    <xdr:cxnSp macro="">
      <xdr:nvCxnSpPr>
        <xdr:cNvPr id="8" name="Connecteur droit avec flèche 7"/>
        <xdr:cNvCxnSpPr/>
      </xdr:nvCxnSpPr>
      <xdr:spPr>
        <a:xfrm rot="10800000" flipV="1">
          <a:off x="6791325" y="1619249"/>
          <a:ext cx="302895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40</xdr:row>
      <xdr:rowOff>0</xdr:rowOff>
    </xdr:from>
    <xdr:to>
      <xdr:col>12</xdr:col>
      <xdr:colOff>685800</xdr:colOff>
      <xdr:row>41</xdr:row>
      <xdr:rowOff>133350</xdr:rowOff>
    </xdr:to>
    <xdr:sp macro="" textlink="">
      <xdr:nvSpPr>
        <xdr:cNvPr id="9" name="Rectangle 8"/>
        <xdr:cNvSpPr>
          <a:spLocks noChangeArrowheads="1"/>
        </xdr:cNvSpPr>
      </xdr:nvSpPr>
      <xdr:spPr bwMode="auto">
        <a:xfrm>
          <a:off x="9144000" y="9829800"/>
          <a:ext cx="685800" cy="457200"/>
        </a:xfrm>
        <a:prstGeom prst="rect">
          <a:avLst/>
        </a:prstGeom>
        <a:solidFill>
          <a:schemeClr val="accent1"/>
        </a:solidFill>
        <a:ln w="9525">
          <a:solidFill>
            <a:schemeClr val="tx1"/>
          </a:solidFill>
          <a:miter lim="800000"/>
          <a:headEnd/>
          <a:tailEnd/>
        </a:ln>
        <a:effectLst/>
      </xdr:spPr>
      <xdr:txBody>
        <a:bodyPr wrap="square" anchor="ctr"/>
        <a:lstStyle>
          <a:defPPr>
            <a:defRPr lang="fr-FR"/>
          </a:defPPr>
          <a:lvl1pPr algn="l" rtl="0" fontAlgn="base">
            <a:spcBef>
              <a:spcPct val="0"/>
            </a:spcBef>
            <a:spcAft>
              <a:spcPct val="0"/>
            </a:spcAft>
            <a:defRPr sz="2400" kern="1200">
              <a:solidFill>
                <a:schemeClr val="tx1"/>
              </a:solidFill>
              <a:latin typeface="Times New Roman" pitchFamily="18" charset="0"/>
              <a:ea typeface="+mn-ea"/>
              <a:cs typeface="+mn-cs"/>
            </a:defRPr>
          </a:lvl1pPr>
          <a:lvl2pPr marL="457200" algn="l" rtl="0" fontAlgn="base">
            <a:spcBef>
              <a:spcPct val="0"/>
            </a:spcBef>
            <a:spcAft>
              <a:spcPct val="0"/>
            </a:spcAft>
            <a:defRPr sz="2400" kern="1200">
              <a:solidFill>
                <a:schemeClr val="tx1"/>
              </a:solidFill>
              <a:latin typeface="Times New Roman" pitchFamily="18" charset="0"/>
              <a:ea typeface="+mn-ea"/>
              <a:cs typeface="+mn-cs"/>
            </a:defRPr>
          </a:lvl2pPr>
          <a:lvl3pPr marL="914400" algn="l" rtl="0" fontAlgn="base">
            <a:spcBef>
              <a:spcPct val="0"/>
            </a:spcBef>
            <a:spcAft>
              <a:spcPct val="0"/>
            </a:spcAft>
            <a:defRPr sz="2400" kern="1200">
              <a:solidFill>
                <a:schemeClr val="tx1"/>
              </a:solidFill>
              <a:latin typeface="Times New Roman" pitchFamily="18" charset="0"/>
              <a:ea typeface="+mn-ea"/>
              <a:cs typeface="+mn-cs"/>
            </a:defRPr>
          </a:lvl3pPr>
          <a:lvl4pPr marL="1371600" algn="l" rtl="0" fontAlgn="base">
            <a:spcBef>
              <a:spcPct val="0"/>
            </a:spcBef>
            <a:spcAft>
              <a:spcPct val="0"/>
            </a:spcAft>
            <a:defRPr sz="2400" kern="1200">
              <a:solidFill>
                <a:schemeClr val="tx1"/>
              </a:solidFill>
              <a:latin typeface="Times New Roman" pitchFamily="18" charset="0"/>
              <a:ea typeface="+mn-ea"/>
              <a:cs typeface="+mn-cs"/>
            </a:defRPr>
          </a:lvl4pPr>
          <a:lvl5pPr marL="1828800" algn="l" rtl="0" fontAlgn="base">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fr-FR" sz="1200">
              <a:solidFill>
                <a:schemeClr val="bg1"/>
              </a:solidFill>
            </a:rPr>
            <a:t>stage3</a:t>
          </a:r>
        </a:p>
        <a:p>
          <a:pPr algn="ctr"/>
          <a:r>
            <a:rPr lang="fr-FR" sz="1200">
              <a:solidFill>
                <a:schemeClr val="bg1"/>
              </a:solidFill>
            </a:rPr>
            <a:t>14</a:t>
          </a:r>
        </a:p>
      </xdr:txBody>
    </xdr:sp>
    <xdr:clientData/>
  </xdr:twoCellAnchor>
  <xdr:twoCellAnchor>
    <xdr:from>
      <xdr:col>11</xdr:col>
      <xdr:colOff>38101</xdr:colOff>
      <xdr:row>40</xdr:row>
      <xdr:rowOff>95250</xdr:rowOff>
    </xdr:from>
    <xdr:to>
      <xdr:col>11</xdr:col>
      <xdr:colOff>695326</xdr:colOff>
      <xdr:row>40</xdr:row>
      <xdr:rowOff>285750</xdr:rowOff>
    </xdr:to>
    <xdr:cxnSp macro="">
      <xdr:nvCxnSpPr>
        <xdr:cNvPr id="11" name="Connecteur droit avec flèche 10"/>
        <xdr:cNvCxnSpPr/>
      </xdr:nvCxnSpPr>
      <xdr:spPr>
        <a:xfrm rot="10800000">
          <a:off x="8420101" y="9925050"/>
          <a:ext cx="6572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590549</xdr:colOff>
      <xdr:row>35</xdr:row>
      <xdr:rowOff>133349</xdr:rowOff>
    </xdr:from>
    <xdr:to>
      <xdr:col>13</xdr:col>
      <xdr:colOff>333374</xdr:colOff>
      <xdr:row>39</xdr:row>
      <xdr:rowOff>85724</xdr:rowOff>
    </xdr:to>
    <xdr:sp macro="" textlink="">
      <xdr:nvSpPr>
        <xdr:cNvPr id="12" name="Rectangle 11"/>
        <xdr:cNvSpPr>
          <a:spLocks noChangeArrowheads="1"/>
        </xdr:cNvSpPr>
      </xdr:nvSpPr>
      <xdr:spPr bwMode="auto">
        <a:xfrm>
          <a:off x="8972549" y="8553449"/>
          <a:ext cx="1266825" cy="1171575"/>
        </a:xfrm>
        <a:prstGeom prst="rect">
          <a:avLst/>
        </a:prstGeom>
        <a:solidFill>
          <a:schemeClr val="accent1"/>
        </a:solidFill>
        <a:ln w="9525">
          <a:solidFill>
            <a:schemeClr val="tx1"/>
          </a:solidFill>
          <a:miter lim="800000"/>
          <a:headEnd/>
          <a:tailEnd/>
        </a:ln>
        <a:effectLst/>
      </xdr:spPr>
      <xdr:txBody>
        <a:bodyPr wrap="square" anchor="ctr"/>
        <a:lstStyle>
          <a:defPPr>
            <a:defRPr lang="fr-FR"/>
          </a:defPPr>
          <a:lvl1pPr algn="l" rtl="0" fontAlgn="base">
            <a:spcBef>
              <a:spcPct val="0"/>
            </a:spcBef>
            <a:spcAft>
              <a:spcPct val="0"/>
            </a:spcAft>
            <a:defRPr sz="2400" kern="1200">
              <a:solidFill>
                <a:schemeClr val="tx1"/>
              </a:solidFill>
              <a:latin typeface="Times New Roman" pitchFamily="18" charset="0"/>
              <a:ea typeface="+mn-ea"/>
              <a:cs typeface="+mn-cs"/>
            </a:defRPr>
          </a:lvl1pPr>
          <a:lvl2pPr marL="457200" algn="l" rtl="0" fontAlgn="base">
            <a:spcBef>
              <a:spcPct val="0"/>
            </a:spcBef>
            <a:spcAft>
              <a:spcPct val="0"/>
            </a:spcAft>
            <a:defRPr sz="2400" kern="1200">
              <a:solidFill>
                <a:schemeClr val="tx1"/>
              </a:solidFill>
              <a:latin typeface="Times New Roman" pitchFamily="18" charset="0"/>
              <a:ea typeface="+mn-ea"/>
              <a:cs typeface="+mn-cs"/>
            </a:defRPr>
          </a:lvl2pPr>
          <a:lvl3pPr marL="914400" algn="l" rtl="0" fontAlgn="base">
            <a:spcBef>
              <a:spcPct val="0"/>
            </a:spcBef>
            <a:spcAft>
              <a:spcPct val="0"/>
            </a:spcAft>
            <a:defRPr sz="2400" kern="1200">
              <a:solidFill>
                <a:schemeClr val="tx1"/>
              </a:solidFill>
              <a:latin typeface="Times New Roman" pitchFamily="18" charset="0"/>
              <a:ea typeface="+mn-ea"/>
              <a:cs typeface="+mn-cs"/>
            </a:defRPr>
          </a:lvl3pPr>
          <a:lvl4pPr marL="1371600" algn="l" rtl="0" fontAlgn="base">
            <a:spcBef>
              <a:spcPct val="0"/>
            </a:spcBef>
            <a:spcAft>
              <a:spcPct val="0"/>
            </a:spcAft>
            <a:defRPr sz="2400" kern="1200">
              <a:solidFill>
                <a:schemeClr val="tx1"/>
              </a:solidFill>
              <a:latin typeface="Times New Roman" pitchFamily="18" charset="0"/>
              <a:ea typeface="+mn-ea"/>
              <a:cs typeface="+mn-cs"/>
            </a:defRPr>
          </a:lvl4pPr>
          <a:lvl5pPr marL="1828800" algn="l" rtl="0" fontAlgn="base">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fr-FR" sz="1200">
              <a:solidFill>
                <a:schemeClr val="bg1"/>
              </a:solidFill>
            </a:rPr>
            <a:t>stage 5</a:t>
          </a:r>
        </a:p>
        <a:p>
          <a:pPr algn="ctr"/>
          <a:r>
            <a:rPr lang="fr-FR" sz="1200">
              <a:solidFill>
                <a:schemeClr val="bg1"/>
              </a:solidFill>
            </a:rPr>
            <a:t>to balance supply</a:t>
          </a:r>
          <a:r>
            <a:rPr lang="fr-FR" sz="1200" baseline="0">
              <a:solidFill>
                <a:schemeClr val="bg1"/>
              </a:solidFill>
            </a:rPr>
            <a:t> and use of electricity suplly is 569 and uses is 674</a:t>
          </a:r>
        </a:p>
        <a:p>
          <a:pPr algn="ctr"/>
          <a:endParaRPr lang="fr-FR" sz="1200"/>
        </a:p>
      </xdr:txBody>
    </xdr:sp>
    <xdr:clientData/>
  </xdr:twoCellAnchor>
  <xdr:twoCellAnchor>
    <xdr:from>
      <xdr:col>3</xdr:col>
      <xdr:colOff>695326</xdr:colOff>
      <xdr:row>36</xdr:row>
      <xdr:rowOff>571500</xdr:rowOff>
    </xdr:from>
    <xdr:to>
      <xdr:col>11</xdr:col>
      <xdr:colOff>438151</xdr:colOff>
      <xdr:row>37</xdr:row>
      <xdr:rowOff>19050</xdr:rowOff>
    </xdr:to>
    <xdr:cxnSp macro="">
      <xdr:nvCxnSpPr>
        <xdr:cNvPr id="14" name="Connecteur droit avec flèche 13"/>
        <xdr:cNvCxnSpPr/>
      </xdr:nvCxnSpPr>
      <xdr:spPr>
        <a:xfrm rot="10800000">
          <a:off x="2981326" y="9182100"/>
          <a:ext cx="5838825"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761999</xdr:colOff>
      <xdr:row>19</xdr:row>
      <xdr:rowOff>190499</xdr:rowOff>
    </xdr:from>
    <xdr:to>
      <xdr:col>14</xdr:col>
      <xdr:colOff>9524</xdr:colOff>
      <xdr:row>23</xdr:row>
      <xdr:rowOff>152399</xdr:rowOff>
    </xdr:to>
    <xdr:sp macro="" textlink="">
      <xdr:nvSpPr>
        <xdr:cNvPr id="15" name="Rectangle 14"/>
        <xdr:cNvSpPr>
          <a:spLocks noChangeArrowheads="1"/>
        </xdr:cNvSpPr>
      </xdr:nvSpPr>
      <xdr:spPr bwMode="auto">
        <a:xfrm>
          <a:off x="9143999" y="4438649"/>
          <a:ext cx="1533525" cy="1019175"/>
        </a:xfrm>
        <a:prstGeom prst="rect">
          <a:avLst/>
        </a:prstGeom>
        <a:solidFill>
          <a:schemeClr val="accent1"/>
        </a:solidFill>
        <a:ln w="9525">
          <a:solidFill>
            <a:schemeClr val="tx1"/>
          </a:solidFill>
          <a:miter lim="800000"/>
          <a:headEnd/>
          <a:tailEnd/>
        </a:ln>
        <a:effectLst/>
      </xdr:spPr>
      <xdr:txBody>
        <a:bodyPr wrap="square" anchor="ctr"/>
        <a:lstStyle>
          <a:defPPr>
            <a:defRPr lang="fr-FR"/>
          </a:defPPr>
          <a:lvl1pPr algn="l" rtl="0" fontAlgn="base">
            <a:spcBef>
              <a:spcPct val="0"/>
            </a:spcBef>
            <a:spcAft>
              <a:spcPct val="0"/>
            </a:spcAft>
            <a:defRPr sz="2400" kern="1200">
              <a:solidFill>
                <a:schemeClr val="tx1"/>
              </a:solidFill>
              <a:latin typeface="Times New Roman" pitchFamily="18" charset="0"/>
              <a:ea typeface="+mn-ea"/>
              <a:cs typeface="+mn-cs"/>
            </a:defRPr>
          </a:lvl1pPr>
          <a:lvl2pPr marL="457200" algn="l" rtl="0" fontAlgn="base">
            <a:spcBef>
              <a:spcPct val="0"/>
            </a:spcBef>
            <a:spcAft>
              <a:spcPct val="0"/>
            </a:spcAft>
            <a:defRPr sz="2400" kern="1200">
              <a:solidFill>
                <a:schemeClr val="tx1"/>
              </a:solidFill>
              <a:latin typeface="Times New Roman" pitchFamily="18" charset="0"/>
              <a:ea typeface="+mn-ea"/>
              <a:cs typeface="+mn-cs"/>
            </a:defRPr>
          </a:lvl2pPr>
          <a:lvl3pPr marL="914400" algn="l" rtl="0" fontAlgn="base">
            <a:spcBef>
              <a:spcPct val="0"/>
            </a:spcBef>
            <a:spcAft>
              <a:spcPct val="0"/>
            </a:spcAft>
            <a:defRPr sz="2400" kern="1200">
              <a:solidFill>
                <a:schemeClr val="tx1"/>
              </a:solidFill>
              <a:latin typeface="Times New Roman" pitchFamily="18" charset="0"/>
              <a:ea typeface="+mn-ea"/>
              <a:cs typeface="+mn-cs"/>
            </a:defRPr>
          </a:lvl3pPr>
          <a:lvl4pPr marL="1371600" algn="l" rtl="0" fontAlgn="base">
            <a:spcBef>
              <a:spcPct val="0"/>
            </a:spcBef>
            <a:spcAft>
              <a:spcPct val="0"/>
            </a:spcAft>
            <a:defRPr sz="2400" kern="1200">
              <a:solidFill>
                <a:schemeClr val="tx1"/>
              </a:solidFill>
              <a:latin typeface="Times New Roman" pitchFamily="18" charset="0"/>
              <a:ea typeface="+mn-ea"/>
              <a:cs typeface="+mn-cs"/>
            </a:defRPr>
          </a:lvl4pPr>
          <a:lvl5pPr marL="1828800" algn="l" rtl="0" fontAlgn="base">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fr-FR" sz="1200">
              <a:solidFill>
                <a:schemeClr val="bg1"/>
              </a:solidFill>
            </a:rPr>
            <a:t>stage 4 to estimate change inventory</a:t>
          </a:r>
        </a:p>
        <a:p>
          <a:pPr algn="ctr"/>
          <a:r>
            <a:rPr lang="fr-FR" sz="1200">
              <a:solidFill>
                <a:schemeClr val="bg1"/>
              </a:solidFill>
            </a:rPr>
            <a:t>-167</a:t>
          </a:r>
        </a:p>
      </xdr:txBody>
    </xdr:sp>
    <xdr:clientData/>
  </xdr:twoCellAnchor>
  <xdr:twoCellAnchor>
    <xdr:from>
      <xdr:col>11</xdr:col>
      <xdr:colOff>761999</xdr:colOff>
      <xdr:row>43</xdr:row>
      <xdr:rowOff>190499</xdr:rowOff>
    </xdr:from>
    <xdr:to>
      <xdr:col>14</xdr:col>
      <xdr:colOff>371474</xdr:colOff>
      <xdr:row>47</xdr:row>
      <xdr:rowOff>19049</xdr:rowOff>
    </xdr:to>
    <xdr:sp macro="" textlink="">
      <xdr:nvSpPr>
        <xdr:cNvPr id="16" name="Rectangle 15"/>
        <xdr:cNvSpPr>
          <a:spLocks noChangeArrowheads="1"/>
        </xdr:cNvSpPr>
      </xdr:nvSpPr>
      <xdr:spPr bwMode="auto">
        <a:xfrm>
          <a:off x="9143999" y="10858499"/>
          <a:ext cx="1895475" cy="885825"/>
        </a:xfrm>
        <a:prstGeom prst="rect">
          <a:avLst/>
        </a:prstGeom>
        <a:solidFill>
          <a:schemeClr val="accent1"/>
        </a:solidFill>
        <a:ln w="9525">
          <a:solidFill>
            <a:schemeClr val="tx1"/>
          </a:solidFill>
          <a:miter lim="800000"/>
          <a:headEnd/>
          <a:tailEnd/>
        </a:ln>
        <a:effectLst/>
      </xdr:spPr>
      <xdr:txBody>
        <a:bodyPr wrap="square" anchor="ctr"/>
        <a:lstStyle>
          <a:defPPr>
            <a:defRPr lang="fr-FR"/>
          </a:defPPr>
          <a:lvl1pPr algn="l" rtl="0" fontAlgn="base">
            <a:spcBef>
              <a:spcPct val="0"/>
            </a:spcBef>
            <a:spcAft>
              <a:spcPct val="0"/>
            </a:spcAft>
            <a:defRPr sz="2400" kern="1200">
              <a:solidFill>
                <a:schemeClr val="tx1"/>
              </a:solidFill>
              <a:latin typeface="Times New Roman" pitchFamily="18" charset="0"/>
              <a:ea typeface="+mn-ea"/>
              <a:cs typeface="+mn-cs"/>
            </a:defRPr>
          </a:lvl1pPr>
          <a:lvl2pPr marL="457200" algn="l" rtl="0" fontAlgn="base">
            <a:spcBef>
              <a:spcPct val="0"/>
            </a:spcBef>
            <a:spcAft>
              <a:spcPct val="0"/>
            </a:spcAft>
            <a:defRPr sz="2400" kern="1200">
              <a:solidFill>
                <a:schemeClr val="tx1"/>
              </a:solidFill>
              <a:latin typeface="Times New Roman" pitchFamily="18" charset="0"/>
              <a:ea typeface="+mn-ea"/>
              <a:cs typeface="+mn-cs"/>
            </a:defRPr>
          </a:lvl2pPr>
          <a:lvl3pPr marL="914400" algn="l" rtl="0" fontAlgn="base">
            <a:spcBef>
              <a:spcPct val="0"/>
            </a:spcBef>
            <a:spcAft>
              <a:spcPct val="0"/>
            </a:spcAft>
            <a:defRPr sz="2400" kern="1200">
              <a:solidFill>
                <a:schemeClr val="tx1"/>
              </a:solidFill>
              <a:latin typeface="Times New Roman" pitchFamily="18" charset="0"/>
              <a:ea typeface="+mn-ea"/>
              <a:cs typeface="+mn-cs"/>
            </a:defRPr>
          </a:lvl3pPr>
          <a:lvl4pPr marL="1371600" algn="l" rtl="0" fontAlgn="base">
            <a:spcBef>
              <a:spcPct val="0"/>
            </a:spcBef>
            <a:spcAft>
              <a:spcPct val="0"/>
            </a:spcAft>
            <a:defRPr sz="2400" kern="1200">
              <a:solidFill>
                <a:schemeClr val="tx1"/>
              </a:solidFill>
              <a:latin typeface="Times New Roman" pitchFamily="18" charset="0"/>
              <a:ea typeface="+mn-ea"/>
              <a:cs typeface="+mn-cs"/>
            </a:defRPr>
          </a:lvl4pPr>
          <a:lvl5pPr marL="1828800" algn="l" rtl="0" fontAlgn="base">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lgn="ctr"/>
          <a:r>
            <a:rPr lang="fr-FR" sz="1200">
              <a:solidFill>
                <a:schemeClr val="bg1"/>
              </a:solidFill>
            </a:rPr>
            <a:t>stage6</a:t>
          </a:r>
        </a:p>
        <a:p>
          <a:pPr algn="ctr"/>
          <a:r>
            <a:rPr lang="fr-FR" sz="1200">
              <a:solidFill>
                <a:schemeClr val="bg1"/>
              </a:solidFill>
            </a:rPr>
            <a:t>to balnace supply and use of services</a:t>
          </a:r>
        </a:p>
        <a:p>
          <a:pPr algn="ctr"/>
          <a:endParaRPr lang="fr-FR" sz="1200">
            <a:solidFill>
              <a:schemeClr val="bg1"/>
            </a:solidFill>
          </a:endParaRPr>
        </a:p>
      </xdr:txBody>
    </xdr:sp>
    <xdr:clientData/>
  </xdr:twoCellAnchor>
  <xdr:twoCellAnchor>
    <xdr:from>
      <xdr:col>3</xdr:col>
      <xdr:colOff>390525</xdr:colOff>
      <xdr:row>45</xdr:row>
      <xdr:rowOff>38100</xdr:rowOff>
    </xdr:from>
    <xdr:to>
      <xdr:col>11</xdr:col>
      <xdr:colOff>752475</xdr:colOff>
      <xdr:row>45</xdr:row>
      <xdr:rowOff>57150</xdr:rowOff>
    </xdr:to>
    <xdr:cxnSp macro="">
      <xdr:nvCxnSpPr>
        <xdr:cNvPr id="18" name="Connecteur droit avec flèche 17"/>
        <xdr:cNvCxnSpPr/>
      </xdr:nvCxnSpPr>
      <xdr:spPr>
        <a:xfrm rot="10800000">
          <a:off x="2676525" y="11087100"/>
          <a:ext cx="645795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238125</xdr:colOff>
      <xdr:row>3</xdr:row>
      <xdr:rowOff>95250</xdr:rowOff>
    </xdr:from>
    <xdr:to>
      <xdr:col>10</xdr:col>
      <xdr:colOff>209550</xdr:colOff>
      <xdr:row>18</xdr:row>
      <xdr:rowOff>66675</xdr:rowOff>
    </xdr:to>
    <xdr:sp macro="" textlink="">
      <xdr:nvSpPr>
        <xdr:cNvPr id="2" name="Line 1"/>
        <xdr:cNvSpPr>
          <a:spLocks noChangeShapeType="1"/>
        </xdr:cNvSpPr>
      </xdr:nvSpPr>
      <xdr:spPr bwMode="auto">
        <a:xfrm>
          <a:off x="5572125" y="676275"/>
          <a:ext cx="2257425" cy="3752850"/>
        </a:xfrm>
        <a:prstGeom prst="line">
          <a:avLst/>
        </a:prstGeom>
        <a:noFill/>
        <a:ln w="9525">
          <a:solidFill>
            <a:srgbClr val="000000"/>
          </a:solidFill>
          <a:round/>
          <a:headEnd/>
          <a:tailEnd type="triangle" w="med" len="med"/>
        </a:ln>
      </xdr:spPr>
    </xdr:sp>
    <xdr:clientData/>
  </xdr:twoCellAnchor>
  <xdr:twoCellAnchor>
    <xdr:from>
      <xdr:col>10</xdr:col>
      <xdr:colOff>400051</xdr:colOff>
      <xdr:row>26</xdr:row>
      <xdr:rowOff>200025</xdr:rowOff>
    </xdr:from>
    <xdr:to>
      <xdr:col>11</xdr:col>
      <xdr:colOff>695326</xdr:colOff>
      <xdr:row>26</xdr:row>
      <xdr:rowOff>200026</xdr:rowOff>
    </xdr:to>
    <xdr:cxnSp macro="">
      <xdr:nvCxnSpPr>
        <xdr:cNvPr id="4" name="Connecteur droit avec flèche 3"/>
        <xdr:cNvCxnSpPr/>
      </xdr:nvCxnSpPr>
      <xdr:spPr>
        <a:xfrm rot="10800000">
          <a:off x="8020051" y="7743825"/>
          <a:ext cx="105727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K27"/>
  <sheetViews>
    <sheetView workbookViewId="0">
      <selection activeCell="B14" sqref="B14:E14"/>
    </sheetView>
  </sheetViews>
  <sheetFormatPr baseColWidth="10" defaultRowHeight="15"/>
  <cols>
    <col min="1" max="1" width="40.85546875" customWidth="1"/>
  </cols>
  <sheetData>
    <row r="1" spans="1:11" ht="15.75">
      <c r="A1" s="112" t="s">
        <v>22</v>
      </c>
      <c r="B1" s="224" t="s">
        <v>23</v>
      </c>
      <c r="C1" s="225"/>
      <c r="D1" s="225"/>
      <c r="E1" s="226"/>
      <c r="F1" s="224" t="s">
        <v>24</v>
      </c>
      <c r="G1" s="225"/>
      <c r="H1" s="225"/>
      <c r="I1" s="225"/>
      <c r="J1" s="226"/>
      <c r="K1" s="99"/>
    </row>
    <row r="2" spans="1:11" ht="15.75">
      <c r="A2" s="100"/>
      <c r="B2" s="227" t="s">
        <v>0</v>
      </c>
      <c r="C2" s="228"/>
      <c r="D2" s="228"/>
      <c r="E2" s="229"/>
      <c r="F2" s="227" t="s">
        <v>58</v>
      </c>
      <c r="G2" s="228"/>
      <c r="H2" s="115" t="s">
        <v>59</v>
      </c>
      <c r="I2" s="115" t="s">
        <v>60</v>
      </c>
      <c r="J2" s="99"/>
      <c r="K2" s="99" t="s">
        <v>57</v>
      </c>
    </row>
    <row r="3" spans="1:11" ht="15.75">
      <c r="A3" s="100" t="s">
        <v>5</v>
      </c>
      <c r="B3" s="230"/>
      <c r="C3" s="231"/>
      <c r="D3" s="231"/>
      <c r="E3" s="232"/>
      <c r="F3" s="230"/>
      <c r="G3" s="231"/>
      <c r="H3" s="115"/>
      <c r="I3" s="115" t="s">
        <v>67</v>
      </c>
      <c r="J3" s="99" t="s">
        <v>66</v>
      </c>
      <c r="K3" s="118"/>
    </row>
    <row r="4" spans="1:11" ht="15.75">
      <c r="A4" s="109" t="s">
        <v>78</v>
      </c>
      <c r="B4" s="113" t="s">
        <v>7</v>
      </c>
      <c r="C4" s="113" t="s">
        <v>8</v>
      </c>
      <c r="D4" s="113" t="s">
        <v>9</v>
      </c>
      <c r="E4" s="114" t="s">
        <v>10</v>
      </c>
      <c r="F4" s="113" t="s">
        <v>33</v>
      </c>
      <c r="G4" s="114" t="s">
        <v>34</v>
      </c>
      <c r="H4" s="116"/>
      <c r="I4" s="116"/>
      <c r="J4" s="117"/>
      <c r="K4" s="117"/>
    </row>
    <row r="5" spans="1:11" ht="15.75">
      <c r="A5" s="97" t="s">
        <v>79</v>
      </c>
      <c r="B5" s="119"/>
      <c r="C5" s="119"/>
      <c r="D5" s="119"/>
      <c r="E5" s="108"/>
      <c r="F5" s="119"/>
      <c r="G5" s="120"/>
      <c r="H5" s="119"/>
      <c r="I5" s="119" t="s">
        <v>46</v>
      </c>
      <c r="J5" s="108"/>
      <c r="K5" s="108"/>
    </row>
    <row r="6" spans="1:11" ht="15.75">
      <c r="A6" s="121" t="s">
        <v>80</v>
      </c>
      <c r="B6" s="122"/>
      <c r="C6" s="122"/>
      <c r="D6" s="122"/>
      <c r="E6" s="123"/>
      <c r="F6" s="122"/>
      <c r="G6" s="124" t="s">
        <v>19</v>
      </c>
      <c r="H6" s="122"/>
      <c r="I6" s="122">
        <v>0</v>
      </c>
      <c r="J6" s="123"/>
      <c r="K6" s="108"/>
    </row>
    <row r="7" spans="1:11" ht="15.75">
      <c r="A7" s="97" t="s">
        <v>81</v>
      </c>
      <c r="B7" s="119"/>
      <c r="C7" s="119"/>
      <c r="D7" s="119"/>
      <c r="E7" s="108"/>
      <c r="F7" s="119"/>
      <c r="G7" s="120"/>
      <c r="H7" s="120"/>
      <c r="I7" s="119" t="s">
        <v>46</v>
      </c>
      <c r="J7" s="125"/>
      <c r="K7" s="108"/>
    </row>
    <row r="8" spans="1:11" ht="15.75">
      <c r="A8" s="121" t="s">
        <v>80</v>
      </c>
      <c r="B8" s="122"/>
      <c r="C8" s="122"/>
      <c r="D8" s="122"/>
      <c r="E8" s="123"/>
      <c r="F8" s="122"/>
      <c r="G8" s="124" t="s">
        <v>19</v>
      </c>
      <c r="H8" s="122"/>
      <c r="I8" s="126"/>
      <c r="J8" s="123"/>
      <c r="K8" s="108"/>
    </row>
    <row r="9" spans="1:11" ht="15.75">
      <c r="A9" s="97" t="s">
        <v>14</v>
      </c>
      <c r="B9" s="119"/>
      <c r="C9" s="119"/>
      <c r="D9" s="119"/>
      <c r="E9" s="108"/>
      <c r="F9" s="119"/>
      <c r="G9" s="120"/>
      <c r="H9" s="120"/>
      <c r="I9" s="119" t="s">
        <v>46</v>
      </c>
      <c r="J9" s="108"/>
      <c r="K9" s="108"/>
    </row>
    <row r="10" spans="1:11" ht="15.75">
      <c r="A10" s="127" t="s">
        <v>80</v>
      </c>
      <c r="B10" s="128"/>
      <c r="C10" s="128"/>
      <c r="D10" s="128"/>
      <c r="E10" s="129"/>
      <c r="F10" s="128"/>
      <c r="G10" s="130" t="s">
        <v>19</v>
      </c>
      <c r="H10" s="128"/>
      <c r="I10" s="128">
        <v>0</v>
      </c>
      <c r="J10" s="129"/>
      <c r="K10" s="108"/>
    </row>
    <row r="11" spans="1:11" ht="15.75">
      <c r="A11" s="121" t="s">
        <v>82</v>
      </c>
      <c r="B11" s="128"/>
      <c r="C11" s="128"/>
      <c r="D11" s="128"/>
      <c r="E11" s="129"/>
      <c r="F11" s="128"/>
      <c r="G11" s="130" t="s">
        <v>19</v>
      </c>
      <c r="H11" s="128"/>
      <c r="I11" s="128">
        <v>0</v>
      </c>
      <c r="J11" s="129"/>
      <c r="K11" s="108"/>
    </row>
    <row r="14" spans="1:11" ht="19.5">
      <c r="A14" s="169" t="s">
        <v>119</v>
      </c>
      <c r="B14" s="216" t="s">
        <v>106</v>
      </c>
      <c r="C14" s="217"/>
      <c r="D14" s="217"/>
      <c r="E14" s="218"/>
      <c r="F14" s="216"/>
      <c r="G14" s="217"/>
      <c r="H14" s="217"/>
      <c r="I14" s="217"/>
      <c r="J14" s="219"/>
    </row>
    <row r="15" spans="1:11" ht="18.75">
      <c r="A15" s="170"/>
      <c r="B15" s="220" t="s">
        <v>23</v>
      </c>
      <c r="C15" s="221"/>
      <c r="D15" s="221"/>
      <c r="E15" s="222"/>
      <c r="F15" s="220" t="s">
        <v>24</v>
      </c>
      <c r="G15" s="221"/>
      <c r="H15" s="221"/>
      <c r="I15" s="221"/>
      <c r="J15" s="223"/>
    </row>
    <row r="16" spans="1:11" ht="18.75">
      <c r="A16" s="170" t="s">
        <v>5</v>
      </c>
      <c r="B16" s="171"/>
      <c r="C16" s="172"/>
      <c r="D16" s="172"/>
      <c r="E16" s="172"/>
      <c r="F16" s="171"/>
      <c r="G16" s="171"/>
      <c r="H16" s="171"/>
      <c r="I16" s="171"/>
      <c r="J16" s="173"/>
    </row>
    <row r="17" spans="1:10" ht="37.5">
      <c r="A17" s="174"/>
      <c r="B17" s="175" t="s">
        <v>107</v>
      </c>
      <c r="C17" s="175" t="s">
        <v>108</v>
      </c>
      <c r="D17" s="175" t="s">
        <v>109</v>
      </c>
      <c r="E17" s="175" t="s">
        <v>110</v>
      </c>
      <c r="F17" s="175" t="s">
        <v>111</v>
      </c>
      <c r="G17" s="175" t="s">
        <v>112</v>
      </c>
      <c r="H17" s="175" t="s">
        <v>59</v>
      </c>
      <c r="I17" s="175" t="s">
        <v>113</v>
      </c>
      <c r="J17" s="176" t="s">
        <v>66</v>
      </c>
    </row>
    <row r="18" spans="1:10" ht="18.75">
      <c r="A18" s="177"/>
      <c r="B18" s="178"/>
      <c r="C18" s="179" t="s">
        <v>52</v>
      </c>
      <c r="D18" s="179" t="s">
        <v>114</v>
      </c>
      <c r="E18" s="179" t="s">
        <v>115</v>
      </c>
      <c r="F18" s="178"/>
      <c r="G18" s="178"/>
      <c r="H18" s="178"/>
      <c r="I18" s="178"/>
      <c r="J18" s="180" t="s">
        <v>91</v>
      </c>
    </row>
    <row r="19" spans="1:10" ht="18.75">
      <c r="A19" s="181" t="s">
        <v>116</v>
      </c>
      <c r="B19" s="182">
        <v>0.1</v>
      </c>
      <c r="C19" s="182">
        <v>0.1</v>
      </c>
      <c r="D19" s="182">
        <v>0.2</v>
      </c>
      <c r="E19" s="182">
        <v>0.1</v>
      </c>
      <c r="F19" s="182">
        <v>0.5</v>
      </c>
      <c r="G19" s="183" t="s">
        <v>117</v>
      </c>
      <c r="H19" s="182">
        <v>0.2</v>
      </c>
      <c r="I19" s="182">
        <v>0</v>
      </c>
      <c r="J19" s="184">
        <v>0.2</v>
      </c>
    </row>
    <row r="20" spans="1:10" ht="18.75">
      <c r="A20" s="185" t="s">
        <v>118</v>
      </c>
      <c r="B20" s="186">
        <v>0.2</v>
      </c>
      <c r="C20" s="186">
        <v>0.3</v>
      </c>
      <c r="D20" s="186">
        <v>0.25</v>
      </c>
      <c r="E20" s="186">
        <v>0.2</v>
      </c>
      <c r="F20" s="186">
        <v>0.7</v>
      </c>
      <c r="G20" s="179" t="s">
        <v>117</v>
      </c>
      <c r="H20" s="186">
        <v>0</v>
      </c>
      <c r="I20" s="186">
        <v>0</v>
      </c>
      <c r="J20" s="187">
        <v>0</v>
      </c>
    </row>
    <row r="22" spans="1:10" ht="18.75">
      <c r="A22" s="170"/>
      <c r="B22" s="220" t="s">
        <v>23</v>
      </c>
      <c r="C22" s="221"/>
      <c r="D22" s="221"/>
      <c r="E22" s="222"/>
      <c r="F22" s="220" t="s">
        <v>24</v>
      </c>
      <c r="G22" s="221"/>
      <c r="H22" s="221"/>
      <c r="I22" s="221"/>
      <c r="J22" s="223"/>
    </row>
    <row r="23" spans="1:10" ht="18.75">
      <c r="A23" s="170" t="s">
        <v>5</v>
      </c>
      <c r="B23" s="171"/>
      <c r="C23" s="172"/>
      <c r="D23" s="172"/>
      <c r="E23" s="172"/>
      <c r="F23" s="171"/>
      <c r="G23" s="171"/>
      <c r="H23" s="171"/>
      <c r="I23" s="171"/>
      <c r="J23" s="173"/>
    </row>
    <row r="24" spans="1:10" ht="37.5">
      <c r="A24" s="174"/>
      <c r="B24" s="175" t="s">
        <v>107</v>
      </c>
      <c r="C24" s="175" t="s">
        <v>108</v>
      </c>
      <c r="D24" s="175" t="s">
        <v>109</v>
      </c>
      <c r="E24" s="175" t="s">
        <v>110</v>
      </c>
      <c r="F24" s="175" t="s">
        <v>111</v>
      </c>
      <c r="G24" s="175" t="s">
        <v>112</v>
      </c>
      <c r="H24" s="175" t="s">
        <v>59</v>
      </c>
      <c r="I24" s="175" t="s">
        <v>113</v>
      </c>
      <c r="J24" s="176" t="s">
        <v>66</v>
      </c>
    </row>
    <row r="25" spans="1:10" ht="18.75">
      <c r="A25" s="177"/>
      <c r="B25" s="178"/>
      <c r="C25" s="179" t="s">
        <v>52</v>
      </c>
      <c r="D25" s="179" t="s">
        <v>114</v>
      </c>
      <c r="E25" s="179" t="s">
        <v>115</v>
      </c>
      <c r="F25" s="178"/>
      <c r="G25" s="178"/>
      <c r="H25" s="178"/>
      <c r="I25" s="178"/>
      <c r="J25" s="180" t="s">
        <v>91</v>
      </c>
    </row>
    <row r="26" spans="1:10" ht="18.75">
      <c r="A26" s="181" t="s">
        <v>116</v>
      </c>
      <c r="B26" s="188">
        <v>0.1</v>
      </c>
      <c r="C26" s="188">
        <v>0.1</v>
      </c>
      <c r="D26" s="188">
        <v>0.2</v>
      </c>
      <c r="E26" s="188">
        <v>0.1</v>
      </c>
      <c r="F26" s="188">
        <v>0.5</v>
      </c>
      <c r="G26" s="188" t="s">
        <v>117</v>
      </c>
      <c r="H26" s="188">
        <v>0.2</v>
      </c>
      <c r="I26" s="188">
        <v>0</v>
      </c>
      <c r="J26" s="189">
        <v>0.2</v>
      </c>
    </row>
    <row r="27" spans="1:10" ht="18.75">
      <c r="A27" s="185" t="s">
        <v>118</v>
      </c>
      <c r="B27" s="190">
        <v>0.2</v>
      </c>
      <c r="C27" s="190">
        <v>0.3</v>
      </c>
      <c r="D27" s="190">
        <v>0.25</v>
      </c>
      <c r="E27" s="190">
        <v>0.2</v>
      </c>
      <c r="F27" s="190">
        <v>0.7</v>
      </c>
      <c r="G27" s="190" t="s">
        <v>117</v>
      </c>
      <c r="H27" s="190">
        <v>0</v>
      </c>
      <c r="I27" s="190">
        <v>0</v>
      </c>
      <c r="J27" s="191">
        <v>0</v>
      </c>
    </row>
  </sheetData>
  <mergeCells count="12">
    <mergeCell ref="B1:E1"/>
    <mergeCell ref="F1:J1"/>
    <mergeCell ref="B2:E2"/>
    <mergeCell ref="F2:G2"/>
    <mergeCell ref="B3:E3"/>
    <mergeCell ref="F3:G3"/>
    <mergeCell ref="B14:E14"/>
    <mergeCell ref="F14:J14"/>
    <mergeCell ref="B15:E15"/>
    <mergeCell ref="F15:J15"/>
    <mergeCell ref="B22:E22"/>
    <mergeCell ref="F22: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7"/>
  <sheetViews>
    <sheetView workbookViewId="0">
      <selection activeCell="B6" sqref="B6"/>
    </sheetView>
  </sheetViews>
  <sheetFormatPr baseColWidth="10" defaultRowHeight="15"/>
  <cols>
    <col min="1" max="1" width="40.85546875" customWidth="1"/>
  </cols>
  <sheetData>
    <row r="1" spans="1:11" ht="15.75">
      <c r="A1" s="112" t="s">
        <v>22</v>
      </c>
      <c r="B1" s="224" t="s">
        <v>23</v>
      </c>
      <c r="C1" s="225"/>
      <c r="D1" s="225"/>
      <c r="E1" s="226"/>
      <c r="F1" s="224" t="s">
        <v>24</v>
      </c>
      <c r="G1" s="225"/>
      <c r="H1" s="225"/>
      <c r="I1" s="225"/>
      <c r="J1" s="226"/>
      <c r="K1" s="99"/>
    </row>
    <row r="2" spans="1:11" ht="15.75">
      <c r="A2" s="100"/>
      <c r="B2" s="227" t="s">
        <v>0</v>
      </c>
      <c r="C2" s="228"/>
      <c r="D2" s="228"/>
      <c r="E2" s="229"/>
      <c r="F2" s="227" t="s">
        <v>58</v>
      </c>
      <c r="G2" s="228"/>
      <c r="H2" s="115" t="s">
        <v>59</v>
      </c>
      <c r="I2" s="115" t="s">
        <v>60</v>
      </c>
      <c r="J2" s="99"/>
      <c r="K2" s="99" t="s">
        <v>57</v>
      </c>
    </row>
    <row r="3" spans="1:11" ht="15.75">
      <c r="A3" s="100" t="s">
        <v>5</v>
      </c>
      <c r="B3" s="230"/>
      <c r="C3" s="231"/>
      <c r="D3" s="231"/>
      <c r="E3" s="232"/>
      <c r="F3" s="230"/>
      <c r="G3" s="231"/>
      <c r="H3" s="115"/>
      <c r="I3" s="115" t="s">
        <v>67</v>
      </c>
      <c r="J3" s="99" t="s">
        <v>66</v>
      </c>
      <c r="K3" s="118"/>
    </row>
    <row r="4" spans="1:11" ht="15.75">
      <c r="A4" s="109" t="s">
        <v>78</v>
      </c>
      <c r="B4" s="103" t="s">
        <v>7</v>
      </c>
      <c r="C4" s="103" t="s">
        <v>8</v>
      </c>
      <c r="D4" s="103" t="s">
        <v>9</v>
      </c>
      <c r="E4" s="104" t="s">
        <v>10</v>
      </c>
      <c r="F4" s="103" t="s">
        <v>33</v>
      </c>
      <c r="G4" s="104" t="s">
        <v>34</v>
      </c>
      <c r="H4" s="105"/>
      <c r="I4" s="105"/>
      <c r="J4" s="106"/>
      <c r="K4" s="106"/>
    </row>
    <row r="5" spans="1:11" ht="15.75">
      <c r="A5" s="97" t="s">
        <v>79</v>
      </c>
      <c r="B5" s="119">
        <v>2200</v>
      </c>
      <c r="C5" s="119">
        <v>110</v>
      </c>
      <c r="D5" s="119">
        <v>1080</v>
      </c>
      <c r="E5" s="108">
        <v>264</v>
      </c>
      <c r="F5" s="119">
        <v>2160</v>
      </c>
      <c r="G5" s="120"/>
      <c r="H5" s="119">
        <v>1440</v>
      </c>
      <c r="I5" s="119" t="s">
        <v>46</v>
      </c>
      <c r="J5" s="108">
        <v>2520</v>
      </c>
      <c r="K5" s="108">
        <f>SUM(B5:J5)</f>
        <v>9774</v>
      </c>
    </row>
    <row r="6" spans="1:11" ht="15.75">
      <c r="A6" s="121" t="s">
        <v>80</v>
      </c>
      <c r="B6" s="122">
        <v>0</v>
      </c>
      <c r="C6" s="122">
        <v>0</v>
      </c>
      <c r="D6" s="122">
        <v>180</v>
      </c>
      <c r="E6" s="123">
        <v>44</v>
      </c>
      <c r="F6" s="122">
        <v>360</v>
      </c>
      <c r="G6" s="124" t="s">
        <v>19</v>
      </c>
      <c r="H6" s="122">
        <v>240</v>
      </c>
      <c r="I6" s="122">
        <v>0</v>
      </c>
      <c r="J6" s="123">
        <v>0</v>
      </c>
      <c r="K6" s="108">
        <f t="shared" ref="K6:K11" si="0">SUM(B6:J6)</f>
        <v>824</v>
      </c>
    </row>
    <row r="7" spans="1:11" ht="15.75">
      <c r="A7" s="97" t="s">
        <v>81</v>
      </c>
      <c r="B7" s="119">
        <v>60</v>
      </c>
      <c r="C7" s="119">
        <v>13</v>
      </c>
      <c r="D7" s="119">
        <v>180</v>
      </c>
      <c r="E7" s="108">
        <v>72</v>
      </c>
      <c r="F7" s="119">
        <v>816</v>
      </c>
      <c r="G7" s="120"/>
      <c r="H7" s="120"/>
      <c r="I7" s="119" t="s">
        <v>46</v>
      </c>
      <c r="J7" s="125"/>
      <c r="K7" s="108">
        <f t="shared" si="0"/>
        <v>1141</v>
      </c>
    </row>
    <row r="8" spans="1:11" ht="15.75">
      <c r="A8" s="121" t="s">
        <v>80</v>
      </c>
      <c r="B8" s="122">
        <v>0</v>
      </c>
      <c r="C8" s="122">
        <v>0</v>
      </c>
      <c r="D8" s="122">
        <v>30</v>
      </c>
      <c r="E8" s="123">
        <v>12</v>
      </c>
      <c r="F8" s="122">
        <v>136</v>
      </c>
      <c r="G8" s="124" t="s">
        <v>19</v>
      </c>
      <c r="H8" s="122">
        <v>0</v>
      </c>
      <c r="I8" s="126"/>
      <c r="J8" s="123">
        <v>0</v>
      </c>
      <c r="K8" s="108">
        <f t="shared" si="0"/>
        <v>178</v>
      </c>
    </row>
    <row r="9" spans="1:11" ht="15.75">
      <c r="A9" s="97" t="s">
        <v>14</v>
      </c>
      <c r="B9" s="119">
        <v>360</v>
      </c>
      <c r="C9" s="119">
        <v>22</v>
      </c>
      <c r="D9" s="119">
        <v>138</v>
      </c>
      <c r="E9" s="108">
        <v>12</v>
      </c>
      <c r="F9" s="119">
        <v>132</v>
      </c>
      <c r="G9" s="120"/>
      <c r="H9" s="120"/>
      <c r="I9" s="119" t="s">
        <v>46</v>
      </c>
      <c r="J9" s="108">
        <v>10</v>
      </c>
      <c r="K9" s="108">
        <f t="shared" si="0"/>
        <v>674</v>
      </c>
    </row>
    <row r="10" spans="1:11" ht="15.75">
      <c r="A10" s="127" t="s">
        <v>80</v>
      </c>
      <c r="B10" s="128">
        <v>0</v>
      </c>
      <c r="C10" s="128">
        <v>0</v>
      </c>
      <c r="D10" s="128">
        <v>23</v>
      </c>
      <c r="E10" s="129">
        <v>2</v>
      </c>
      <c r="F10" s="128">
        <v>22</v>
      </c>
      <c r="G10" s="130" t="s">
        <v>19</v>
      </c>
      <c r="H10" s="128">
        <v>0</v>
      </c>
      <c r="I10" s="128">
        <v>0</v>
      </c>
      <c r="J10" s="129">
        <v>0</v>
      </c>
      <c r="K10" s="108">
        <f t="shared" si="0"/>
        <v>47</v>
      </c>
    </row>
    <row r="11" spans="1:11" ht="15.75">
      <c r="A11" s="121" t="s">
        <v>82</v>
      </c>
      <c r="B11" s="128">
        <v>0</v>
      </c>
      <c r="C11" s="128">
        <v>0</v>
      </c>
      <c r="D11" s="128">
        <v>233</v>
      </c>
      <c r="E11" s="129">
        <v>58</v>
      </c>
      <c r="F11" s="128">
        <v>518</v>
      </c>
      <c r="G11" s="130" t="s">
        <v>19</v>
      </c>
      <c r="H11" s="128">
        <v>240</v>
      </c>
      <c r="I11" s="128">
        <v>0</v>
      </c>
      <c r="J11" s="129">
        <v>0</v>
      </c>
      <c r="K11" s="108">
        <f t="shared" si="0"/>
        <v>1049</v>
      </c>
    </row>
    <row r="14" spans="1:11" ht="19.5">
      <c r="A14" s="169" t="s">
        <v>119</v>
      </c>
      <c r="B14" s="216" t="s">
        <v>106</v>
      </c>
      <c r="C14" s="217"/>
      <c r="D14" s="217"/>
      <c r="E14" s="218"/>
      <c r="F14" s="216"/>
      <c r="G14" s="217"/>
      <c r="H14" s="217"/>
      <c r="I14" s="217"/>
      <c r="J14" s="219"/>
    </row>
    <row r="15" spans="1:11" ht="18.75">
      <c r="A15" s="170"/>
      <c r="B15" s="220" t="s">
        <v>23</v>
      </c>
      <c r="C15" s="221"/>
      <c r="D15" s="221"/>
      <c r="E15" s="222"/>
      <c r="F15" s="220" t="s">
        <v>24</v>
      </c>
      <c r="G15" s="221"/>
      <c r="H15" s="221"/>
      <c r="I15" s="221"/>
      <c r="J15" s="223"/>
    </row>
    <row r="16" spans="1:11" ht="18.75">
      <c r="A16" s="170" t="s">
        <v>5</v>
      </c>
      <c r="B16" s="171"/>
      <c r="C16" s="172"/>
      <c r="D16" s="172"/>
      <c r="E16" s="172"/>
      <c r="F16" s="171"/>
      <c r="G16" s="171"/>
      <c r="H16" s="171"/>
      <c r="I16" s="171"/>
      <c r="J16" s="173"/>
    </row>
    <row r="17" spans="1:10" ht="37.5">
      <c r="A17" s="174"/>
      <c r="B17" s="175" t="s">
        <v>107</v>
      </c>
      <c r="C17" s="175" t="s">
        <v>108</v>
      </c>
      <c r="D17" s="175" t="s">
        <v>109</v>
      </c>
      <c r="E17" s="175" t="s">
        <v>110</v>
      </c>
      <c r="F17" s="175" t="s">
        <v>111</v>
      </c>
      <c r="G17" s="175" t="s">
        <v>112</v>
      </c>
      <c r="H17" s="175" t="s">
        <v>59</v>
      </c>
      <c r="I17" s="175" t="s">
        <v>113</v>
      </c>
      <c r="J17" s="176" t="s">
        <v>66</v>
      </c>
    </row>
    <row r="18" spans="1:10" ht="18.75">
      <c r="A18" s="177"/>
      <c r="B18" s="178"/>
      <c r="C18" s="179" t="s">
        <v>52</v>
      </c>
      <c r="D18" s="179" t="s">
        <v>114</v>
      </c>
      <c r="E18" s="179" t="s">
        <v>115</v>
      </c>
      <c r="F18" s="178"/>
      <c r="G18" s="178"/>
      <c r="H18" s="178"/>
      <c r="I18" s="178"/>
      <c r="J18" s="180" t="s">
        <v>91</v>
      </c>
    </row>
    <row r="19" spans="1:10" ht="18.75">
      <c r="A19" s="181" t="s">
        <v>116</v>
      </c>
      <c r="B19" s="182">
        <v>0.1</v>
      </c>
      <c r="C19" s="182">
        <v>0.1</v>
      </c>
      <c r="D19" s="182">
        <v>0.2</v>
      </c>
      <c r="E19" s="182">
        <v>0.1</v>
      </c>
      <c r="F19" s="182">
        <v>0.5</v>
      </c>
      <c r="G19" s="183" t="s">
        <v>117</v>
      </c>
      <c r="H19" s="182">
        <v>0.2</v>
      </c>
      <c r="I19" s="182">
        <v>0</v>
      </c>
      <c r="J19" s="184">
        <v>0.2</v>
      </c>
    </row>
    <row r="20" spans="1:10" ht="18.75">
      <c r="A20" s="185" t="s">
        <v>118</v>
      </c>
      <c r="B20" s="186">
        <v>0.2</v>
      </c>
      <c r="C20" s="186">
        <v>0.3</v>
      </c>
      <c r="D20" s="186">
        <v>0.25</v>
      </c>
      <c r="E20" s="186">
        <v>0.2</v>
      </c>
      <c r="F20" s="186">
        <v>0.7</v>
      </c>
      <c r="G20" s="179" t="s">
        <v>117</v>
      </c>
      <c r="H20" s="186">
        <v>0</v>
      </c>
      <c r="I20" s="186">
        <v>0</v>
      </c>
      <c r="J20" s="187">
        <v>0</v>
      </c>
    </row>
    <row r="22" spans="1:10" ht="18.75">
      <c r="A22" s="170"/>
      <c r="B22" s="220" t="s">
        <v>23</v>
      </c>
      <c r="C22" s="221"/>
      <c r="D22" s="221"/>
      <c r="E22" s="222"/>
      <c r="F22" s="220" t="s">
        <v>24</v>
      </c>
      <c r="G22" s="221"/>
      <c r="H22" s="221"/>
      <c r="I22" s="221"/>
      <c r="J22" s="223"/>
    </row>
    <row r="23" spans="1:10" ht="18.75">
      <c r="A23" s="170" t="s">
        <v>5</v>
      </c>
      <c r="B23" s="171"/>
      <c r="C23" s="172"/>
      <c r="D23" s="172"/>
      <c r="E23" s="172"/>
      <c r="F23" s="171"/>
      <c r="G23" s="171"/>
      <c r="H23" s="171"/>
      <c r="I23" s="171"/>
      <c r="J23" s="173"/>
    </row>
    <row r="24" spans="1:10" ht="37.5">
      <c r="A24" s="174"/>
      <c r="B24" s="175" t="s">
        <v>107</v>
      </c>
      <c r="C24" s="175" t="s">
        <v>108</v>
      </c>
      <c r="D24" s="175" t="s">
        <v>109</v>
      </c>
      <c r="E24" s="175" t="s">
        <v>110</v>
      </c>
      <c r="F24" s="175" t="s">
        <v>111</v>
      </c>
      <c r="G24" s="175" t="s">
        <v>112</v>
      </c>
      <c r="H24" s="175" t="s">
        <v>59</v>
      </c>
      <c r="I24" s="175" t="s">
        <v>113</v>
      </c>
      <c r="J24" s="176" t="s">
        <v>66</v>
      </c>
    </row>
    <row r="25" spans="1:10" ht="18.75">
      <c r="A25" s="177"/>
      <c r="B25" s="178"/>
      <c r="C25" s="179" t="s">
        <v>52</v>
      </c>
      <c r="D25" s="179" t="s">
        <v>114</v>
      </c>
      <c r="E25" s="179" t="s">
        <v>115</v>
      </c>
      <c r="F25" s="178"/>
      <c r="G25" s="178"/>
      <c r="H25" s="178"/>
      <c r="I25" s="178"/>
      <c r="J25" s="180" t="s">
        <v>91</v>
      </c>
    </row>
    <row r="26" spans="1:10" ht="18.75">
      <c r="A26" s="181" t="s">
        <v>116</v>
      </c>
      <c r="B26" s="188">
        <v>0.1</v>
      </c>
      <c r="C26" s="188">
        <v>0.1</v>
      </c>
      <c r="D26" s="188">
        <v>0.2</v>
      </c>
      <c r="E26" s="188">
        <v>0.1</v>
      </c>
      <c r="F26" s="188">
        <v>0.5</v>
      </c>
      <c r="G26" s="188" t="s">
        <v>117</v>
      </c>
      <c r="H26" s="188">
        <v>0.2</v>
      </c>
      <c r="I26" s="188">
        <v>0</v>
      </c>
      <c r="J26" s="189">
        <v>0.2</v>
      </c>
    </row>
    <row r="27" spans="1:10" ht="18.75">
      <c r="A27" s="185" t="s">
        <v>118</v>
      </c>
      <c r="B27" s="190">
        <v>0.2</v>
      </c>
      <c r="C27" s="190">
        <v>0.3</v>
      </c>
      <c r="D27" s="190">
        <v>0.25</v>
      </c>
      <c r="E27" s="190">
        <v>0.2</v>
      </c>
      <c r="F27" s="190">
        <v>0.7</v>
      </c>
      <c r="G27" s="190" t="s">
        <v>117</v>
      </c>
      <c r="H27" s="190">
        <v>0</v>
      </c>
      <c r="I27" s="190">
        <v>0</v>
      </c>
      <c r="J27" s="191">
        <v>0</v>
      </c>
    </row>
  </sheetData>
  <mergeCells count="12">
    <mergeCell ref="B14:E14"/>
    <mergeCell ref="F14:J14"/>
    <mergeCell ref="B15:E15"/>
    <mergeCell ref="F15:J15"/>
    <mergeCell ref="B22:E22"/>
    <mergeCell ref="F22:J22"/>
    <mergeCell ref="B1:E1"/>
    <mergeCell ref="F1:J1"/>
    <mergeCell ref="B2:E2"/>
    <mergeCell ref="F2:G2"/>
    <mergeCell ref="B3:E3"/>
    <mergeCell ref="F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26"/>
  <sheetViews>
    <sheetView workbookViewId="0">
      <selection activeCell="C17" sqref="C17"/>
    </sheetView>
  </sheetViews>
  <sheetFormatPr baseColWidth="10" defaultRowHeight="15"/>
  <sheetData>
    <row r="1" spans="1:11" ht="15.75">
      <c r="A1" s="112" t="s">
        <v>48</v>
      </c>
      <c r="B1" s="224" t="s">
        <v>49</v>
      </c>
      <c r="C1" s="225"/>
      <c r="D1" s="225"/>
      <c r="E1" s="225"/>
      <c r="F1" s="226"/>
      <c r="G1" s="99" t="s">
        <v>50</v>
      </c>
      <c r="H1" s="115"/>
      <c r="I1" s="115"/>
      <c r="J1" s="99"/>
      <c r="K1" s="99" t="s">
        <v>50</v>
      </c>
    </row>
    <row r="2" spans="1:11" ht="15.75">
      <c r="A2" s="97"/>
      <c r="B2" s="233"/>
      <c r="C2" s="234"/>
      <c r="D2" s="234"/>
      <c r="E2" s="234"/>
      <c r="F2" s="125"/>
      <c r="G2" s="99" t="s">
        <v>51</v>
      </c>
      <c r="H2" s="115" t="s">
        <v>52</v>
      </c>
      <c r="I2" s="115" t="s">
        <v>53</v>
      </c>
      <c r="J2" s="99" t="s">
        <v>54</v>
      </c>
      <c r="K2" s="99" t="s">
        <v>55</v>
      </c>
    </row>
    <row r="3" spans="1:11" ht="15.75">
      <c r="A3" s="100"/>
      <c r="B3" s="224" t="s">
        <v>0</v>
      </c>
      <c r="C3" s="225"/>
      <c r="D3" s="225"/>
      <c r="E3" s="225"/>
      <c r="F3" s="99" t="s">
        <v>1</v>
      </c>
      <c r="G3" s="99" t="s">
        <v>2</v>
      </c>
      <c r="H3" s="115" t="s">
        <v>3</v>
      </c>
      <c r="I3" s="131"/>
      <c r="J3" s="99" t="s">
        <v>4</v>
      </c>
      <c r="K3" s="99" t="s">
        <v>2</v>
      </c>
    </row>
    <row r="4" spans="1:11" ht="15.75">
      <c r="A4" s="100" t="s">
        <v>5</v>
      </c>
      <c r="B4" s="120"/>
      <c r="C4" s="132"/>
      <c r="D4" s="132"/>
      <c r="E4" s="133"/>
      <c r="F4" s="99" t="s">
        <v>6</v>
      </c>
      <c r="G4" s="118"/>
      <c r="H4" s="131"/>
      <c r="I4" s="131"/>
      <c r="J4" s="118"/>
      <c r="K4" s="118"/>
    </row>
    <row r="5" spans="1:11" ht="15.75">
      <c r="A5" s="102"/>
      <c r="B5" s="103" t="s">
        <v>7</v>
      </c>
      <c r="C5" s="103" t="s">
        <v>8</v>
      </c>
      <c r="D5" s="103" t="s">
        <v>9</v>
      </c>
      <c r="E5" s="104" t="s">
        <v>10</v>
      </c>
      <c r="F5" s="106"/>
      <c r="G5" s="106"/>
      <c r="H5" s="105"/>
      <c r="I5" s="105"/>
      <c r="J5" s="106"/>
      <c r="K5" s="106"/>
    </row>
    <row r="6" spans="1:11" ht="31.5">
      <c r="A6" s="97" t="s">
        <v>11</v>
      </c>
      <c r="B6" s="146">
        <v>5000</v>
      </c>
      <c r="C6" s="147">
        <v>0</v>
      </c>
      <c r="D6" s="147">
        <v>0</v>
      </c>
      <c r="E6" s="147">
        <v>0</v>
      </c>
      <c r="F6" s="152">
        <v>2500</v>
      </c>
      <c r="G6" s="19">
        <f t="shared" ref="G6:G11" si="0">B6+C6+D6+E6+F6</f>
        <v>7500</v>
      </c>
      <c r="H6" s="119" t="s">
        <v>36</v>
      </c>
      <c r="I6" s="119" t="s">
        <v>36</v>
      </c>
      <c r="J6" s="125"/>
      <c r="K6" s="108" t="s">
        <v>36</v>
      </c>
    </row>
    <row r="7" spans="1:11" ht="31.5">
      <c r="A7" s="97" t="s">
        <v>13</v>
      </c>
      <c r="B7" s="146">
        <v>710</v>
      </c>
      <c r="C7" s="147">
        <v>0</v>
      </c>
      <c r="D7" s="147">
        <v>0</v>
      </c>
      <c r="E7" s="147">
        <v>0</v>
      </c>
      <c r="F7" s="153">
        <v>0</v>
      </c>
      <c r="G7" s="19">
        <f t="shared" si="0"/>
        <v>710</v>
      </c>
      <c r="H7" s="119" t="s">
        <v>36</v>
      </c>
      <c r="I7" s="119" t="s">
        <v>36</v>
      </c>
      <c r="J7" s="125"/>
      <c r="K7" s="108" t="s">
        <v>36</v>
      </c>
    </row>
    <row r="8" spans="1:11" ht="31.5">
      <c r="A8" s="97" t="s">
        <v>14</v>
      </c>
      <c r="B8" s="146">
        <v>508</v>
      </c>
      <c r="C8" s="147">
        <v>0</v>
      </c>
      <c r="D8" s="147">
        <v>0</v>
      </c>
      <c r="E8" s="147">
        <v>0</v>
      </c>
      <c r="F8" s="153">
        <v>0</v>
      </c>
      <c r="G8" s="19">
        <f t="shared" si="0"/>
        <v>508</v>
      </c>
      <c r="H8" s="119" t="s">
        <v>12</v>
      </c>
      <c r="I8" s="119" t="s">
        <v>36</v>
      </c>
      <c r="J8" s="108">
        <v>14</v>
      </c>
      <c r="K8" s="108" t="s">
        <v>36</v>
      </c>
    </row>
    <row r="9" spans="1:11" ht="15.75">
      <c r="A9" s="97" t="s">
        <v>15</v>
      </c>
      <c r="B9" s="148">
        <v>0</v>
      </c>
      <c r="C9" s="147">
        <v>0</v>
      </c>
      <c r="D9" s="149">
        <v>4020</v>
      </c>
      <c r="E9" s="147">
        <v>0</v>
      </c>
      <c r="F9" s="152">
        <v>20</v>
      </c>
      <c r="G9" s="19">
        <f t="shared" si="0"/>
        <v>4040</v>
      </c>
      <c r="H9" s="115" t="s">
        <v>16</v>
      </c>
      <c r="I9" s="119" t="s">
        <v>12</v>
      </c>
      <c r="J9" s="125"/>
      <c r="K9" s="108">
        <f>G9</f>
        <v>4040</v>
      </c>
    </row>
    <row r="10" spans="1:11" ht="47.25">
      <c r="A10" s="97" t="s">
        <v>83</v>
      </c>
      <c r="B10" s="148">
        <v>0</v>
      </c>
      <c r="C10" s="147">
        <v>0</v>
      </c>
      <c r="D10" s="147">
        <v>0</v>
      </c>
      <c r="E10" s="149">
        <v>1570</v>
      </c>
      <c r="F10" s="153">
        <v>0</v>
      </c>
      <c r="G10" s="19">
        <f t="shared" si="0"/>
        <v>1570</v>
      </c>
      <c r="H10" s="115" t="s">
        <v>16</v>
      </c>
      <c r="I10" s="119" t="s">
        <v>12</v>
      </c>
      <c r="J10" s="125"/>
      <c r="K10" s="108">
        <f>G10</f>
        <v>1570</v>
      </c>
    </row>
    <row r="11" spans="1:11" ht="15.75">
      <c r="A11" s="109" t="s">
        <v>84</v>
      </c>
      <c r="B11" s="154">
        <v>0</v>
      </c>
      <c r="C11" s="150">
        <v>1550</v>
      </c>
      <c r="D11" s="155">
        <v>0</v>
      </c>
      <c r="E11" s="155">
        <v>0</v>
      </c>
      <c r="F11" s="152">
        <v>0</v>
      </c>
      <c r="G11" s="19">
        <f t="shared" si="0"/>
        <v>1550</v>
      </c>
      <c r="H11" s="110">
        <v>-1550</v>
      </c>
      <c r="I11" s="134"/>
      <c r="J11" s="135"/>
      <c r="K11" s="115" t="s">
        <v>16</v>
      </c>
    </row>
    <row r="12" spans="1:11" ht="16.5" thickBot="1">
      <c r="A12" s="100" t="s">
        <v>50</v>
      </c>
      <c r="B12" s="151">
        <f>SUM(B6:B11)</f>
        <v>6218</v>
      </c>
      <c r="C12" s="151">
        <f t="shared" ref="C12:F12" si="1">SUM(C6:C11)</f>
        <v>1550</v>
      </c>
      <c r="D12" s="151">
        <f t="shared" si="1"/>
        <v>4020</v>
      </c>
      <c r="E12" s="151">
        <f t="shared" si="1"/>
        <v>1570</v>
      </c>
      <c r="F12" s="156">
        <f t="shared" si="1"/>
        <v>2520</v>
      </c>
      <c r="G12" s="19">
        <v>15878</v>
      </c>
      <c r="H12" s="110">
        <v>0</v>
      </c>
      <c r="I12" s="161">
        <v>1028</v>
      </c>
      <c r="J12" s="164">
        <v>14</v>
      </c>
      <c r="K12" s="111">
        <v>16920</v>
      </c>
    </row>
    <row r="15" spans="1:11" ht="15.75">
      <c r="A15" s="112" t="s">
        <v>22</v>
      </c>
      <c r="B15" s="224" t="s">
        <v>23</v>
      </c>
      <c r="C15" s="225"/>
      <c r="D15" s="225"/>
      <c r="E15" s="226"/>
      <c r="F15" s="224" t="s">
        <v>24</v>
      </c>
      <c r="G15" s="225"/>
      <c r="H15" s="225"/>
      <c r="I15" s="225"/>
      <c r="J15" s="226"/>
      <c r="K15" s="99"/>
    </row>
    <row r="16" spans="1:11" ht="15.75">
      <c r="A16" s="97"/>
      <c r="B16" s="227" t="s">
        <v>0</v>
      </c>
      <c r="C16" s="228"/>
      <c r="D16" s="228"/>
      <c r="E16" s="229"/>
      <c r="F16" s="233"/>
      <c r="G16" s="234"/>
      <c r="H16" s="120"/>
      <c r="I16" s="120"/>
      <c r="J16" s="125"/>
      <c r="K16" s="99" t="s">
        <v>56</v>
      </c>
    </row>
    <row r="17" spans="1:11" ht="31.5">
      <c r="A17" s="100" t="s">
        <v>5</v>
      </c>
      <c r="F17" s="227" t="s">
        <v>58</v>
      </c>
      <c r="G17" s="228"/>
      <c r="H17" s="115" t="s">
        <v>59</v>
      </c>
      <c r="I17" s="115" t="s">
        <v>60</v>
      </c>
      <c r="J17" s="99" t="s">
        <v>85</v>
      </c>
      <c r="K17" s="99" t="s">
        <v>57</v>
      </c>
    </row>
    <row r="18" spans="1:11" ht="31.5">
      <c r="A18" s="97" t="s">
        <v>78</v>
      </c>
      <c r="B18" s="120"/>
      <c r="C18" s="132"/>
      <c r="D18" s="132"/>
      <c r="E18" s="133"/>
      <c r="F18" s="134" t="s">
        <v>33</v>
      </c>
      <c r="G18" s="104" t="s">
        <v>86</v>
      </c>
      <c r="H18" s="131"/>
      <c r="I18" s="115" t="s">
        <v>67</v>
      </c>
      <c r="J18" s="118"/>
      <c r="K18" s="118"/>
    </row>
    <row r="19" spans="1:11" ht="15.75">
      <c r="A19" s="102"/>
      <c r="B19" s="103" t="s">
        <v>7</v>
      </c>
      <c r="C19" s="103" t="s">
        <v>8</v>
      </c>
      <c r="D19" s="103" t="s">
        <v>9</v>
      </c>
      <c r="E19" s="104" t="s">
        <v>10</v>
      </c>
      <c r="H19" s="105"/>
      <c r="I19" s="105"/>
      <c r="J19" s="106"/>
      <c r="K19" s="106"/>
    </row>
    <row r="20" spans="1:11" ht="15.75">
      <c r="A20" s="97" t="s">
        <v>79</v>
      </c>
      <c r="B20" s="157">
        <v>2200</v>
      </c>
      <c r="C20" s="157">
        <v>110</v>
      </c>
      <c r="D20" s="157">
        <v>1080</v>
      </c>
      <c r="E20" s="158">
        <v>264</v>
      </c>
      <c r="F20" s="160">
        <v>2160</v>
      </c>
      <c r="G20" s="119" t="s">
        <v>87</v>
      </c>
      <c r="H20" s="160">
        <v>1440</v>
      </c>
      <c r="I20" s="119" t="s">
        <v>46</v>
      </c>
      <c r="J20" s="162">
        <v>2520</v>
      </c>
      <c r="K20" s="108" t="s">
        <v>46</v>
      </c>
    </row>
    <row r="21" spans="1:11" ht="15.75">
      <c r="A21" s="97" t="s">
        <v>74</v>
      </c>
      <c r="B21" s="157">
        <v>60</v>
      </c>
      <c r="C21" s="157">
        <v>13</v>
      </c>
      <c r="D21" s="157">
        <v>180</v>
      </c>
      <c r="E21" s="158">
        <v>72</v>
      </c>
      <c r="F21" s="160">
        <v>816</v>
      </c>
      <c r="G21" s="119" t="s">
        <v>87</v>
      </c>
      <c r="H21" s="119">
        <v>0</v>
      </c>
      <c r="I21" s="119" t="s">
        <v>46</v>
      </c>
      <c r="J21" s="162">
        <v>0</v>
      </c>
      <c r="K21" s="108" t="s">
        <v>46</v>
      </c>
    </row>
    <row r="22" spans="1:11" ht="31.5">
      <c r="A22" s="97" t="s">
        <v>63</v>
      </c>
      <c r="B22" s="157">
        <v>360</v>
      </c>
      <c r="C22" s="157">
        <v>22</v>
      </c>
      <c r="D22" s="157">
        <v>138</v>
      </c>
      <c r="E22" s="158">
        <v>12</v>
      </c>
      <c r="F22" s="160">
        <v>132</v>
      </c>
      <c r="G22" s="119" t="s">
        <v>87</v>
      </c>
      <c r="H22" s="119" t="s">
        <v>87</v>
      </c>
      <c r="I22" s="119" t="s">
        <v>87</v>
      </c>
      <c r="J22" s="162">
        <v>10</v>
      </c>
      <c r="K22" s="108">
        <v>674</v>
      </c>
    </row>
    <row r="23" spans="1:11" ht="15.75">
      <c r="A23" s="97" t="s">
        <v>15</v>
      </c>
      <c r="B23" s="157">
        <v>600</v>
      </c>
      <c r="C23" s="157">
        <v>200</v>
      </c>
      <c r="D23" s="157">
        <v>674</v>
      </c>
      <c r="E23" s="158">
        <v>240</v>
      </c>
      <c r="F23" s="160">
        <v>1600</v>
      </c>
      <c r="G23" s="119" t="s">
        <v>87</v>
      </c>
      <c r="H23" s="119" t="s">
        <v>87</v>
      </c>
      <c r="I23" s="119" t="s">
        <v>87</v>
      </c>
      <c r="J23" s="162">
        <v>600</v>
      </c>
      <c r="K23" s="108">
        <v>3914</v>
      </c>
    </row>
    <row r="24" spans="1:11" ht="47.25">
      <c r="A24" s="97" t="s">
        <v>83</v>
      </c>
      <c r="B24" s="157">
        <v>20</v>
      </c>
      <c r="C24" s="157">
        <v>10</v>
      </c>
      <c r="D24" s="157">
        <v>60</v>
      </c>
      <c r="E24" s="158" t="s">
        <v>19</v>
      </c>
      <c r="F24" s="160">
        <v>80</v>
      </c>
      <c r="G24" s="119" t="s">
        <v>46</v>
      </c>
      <c r="H24" s="119" t="s">
        <v>87</v>
      </c>
      <c r="I24" s="119" t="s">
        <v>87</v>
      </c>
      <c r="J24" s="162">
        <v>0</v>
      </c>
      <c r="K24" s="108" t="s">
        <v>46</v>
      </c>
    </row>
    <row r="25" spans="1:11" ht="15.75">
      <c r="A25" s="109" t="s">
        <v>84</v>
      </c>
      <c r="B25" s="110" t="s">
        <v>88</v>
      </c>
      <c r="C25" s="110" t="s">
        <v>88</v>
      </c>
      <c r="D25" s="110" t="s">
        <v>88</v>
      </c>
      <c r="E25" s="111" t="s">
        <v>88</v>
      </c>
      <c r="F25" s="161" t="s">
        <v>88</v>
      </c>
      <c r="G25" s="110" t="s">
        <v>88</v>
      </c>
      <c r="H25" s="110" t="s">
        <v>88</v>
      </c>
      <c r="I25" s="110" t="s">
        <v>88</v>
      </c>
      <c r="J25" s="163" t="s">
        <v>88</v>
      </c>
      <c r="K25" s="111" t="s">
        <v>88</v>
      </c>
    </row>
    <row r="26" spans="1:11" ht="31.5">
      <c r="A26" s="97" t="s">
        <v>89</v>
      </c>
      <c r="B26" s="159">
        <f>SUM(B20:B24)</f>
        <v>3240</v>
      </c>
      <c r="C26" s="159">
        <f t="shared" ref="C26:J26" si="2">SUM(C20:C24)</f>
        <v>355</v>
      </c>
      <c r="D26" s="159">
        <f t="shared" si="2"/>
        <v>2132</v>
      </c>
      <c r="E26" s="159">
        <f t="shared" si="2"/>
        <v>588</v>
      </c>
      <c r="F26" s="160">
        <f t="shared" si="2"/>
        <v>4788</v>
      </c>
      <c r="G26" s="110" t="s">
        <v>46</v>
      </c>
      <c r="H26" s="160">
        <f t="shared" si="2"/>
        <v>1440</v>
      </c>
      <c r="I26" s="110" t="s">
        <v>46</v>
      </c>
      <c r="J26" s="163">
        <f t="shared" si="2"/>
        <v>3130</v>
      </c>
      <c r="K26" s="111" t="s">
        <v>46</v>
      </c>
    </row>
  </sheetData>
  <mergeCells count="8">
    <mergeCell ref="F17:G17"/>
    <mergeCell ref="B1:F1"/>
    <mergeCell ref="B2:E2"/>
    <mergeCell ref="B3:E3"/>
    <mergeCell ref="B15:E15"/>
    <mergeCell ref="F15:J15"/>
    <mergeCell ref="B16:E16"/>
    <mergeCell ref="F16:G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U25"/>
  <sheetViews>
    <sheetView topLeftCell="A7" workbookViewId="0">
      <selection activeCell="M26" sqref="M26"/>
    </sheetView>
  </sheetViews>
  <sheetFormatPr baseColWidth="10" defaultRowHeight="15"/>
  <cols>
    <col min="2" max="2" width="12.140625" bestFit="1" customWidth="1"/>
  </cols>
  <sheetData>
    <row r="1" spans="1:21" ht="15.75">
      <c r="A1" s="235" t="s">
        <v>90</v>
      </c>
      <c r="B1" s="235"/>
      <c r="C1" s="235"/>
      <c r="D1" s="235"/>
      <c r="E1" s="235"/>
      <c r="F1" s="235"/>
      <c r="G1" s="235"/>
      <c r="H1" s="235"/>
      <c r="I1" s="235"/>
      <c r="J1" s="235"/>
      <c r="L1" s="235" t="s">
        <v>90</v>
      </c>
      <c r="M1" s="235"/>
      <c r="N1" s="235"/>
      <c r="O1" s="235"/>
      <c r="P1" s="235"/>
      <c r="Q1" s="235"/>
      <c r="R1" s="235"/>
      <c r="S1" s="235"/>
      <c r="T1" s="235"/>
      <c r="U1" s="235"/>
    </row>
    <row r="2" spans="1:21" ht="15.75">
      <c r="A2" s="136"/>
      <c r="B2" s="236"/>
      <c r="C2" s="237"/>
      <c r="D2" s="237"/>
      <c r="E2" s="238"/>
      <c r="F2" s="233"/>
      <c r="G2" s="234"/>
      <c r="H2" s="234"/>
      <c r="I2" s="234"/>
      <c r="J2" s="239"/>
      <c r="L2" s="136"/>
      <c r="M2" s="236"/>
      <c r="N2" s="237"/>
      <c r="O2" s="237"/>
      <c r="P2" s="238"/>
      <c r="Q2" s="233"/>
      <c r="R2" s="234"/>
      <c r="S2" s="234"/>
      <c r="T2" s="234"/>
      <c r="U2" s="239"/>
    </row>
    <row r="3" spans="1:21" ht="15.75">
      <c r="A3" s="112" t="s">
        <v>22</v>
      </c>
      <c r="B3" s="224" t="s">
        <v>23</v>
      </c>
      <c r="C3" s="225"/>
      <c r="D3" s="225"/>
      <c r="E3" s="226"/>
      <c r="F3" s="224" t="s">
        <v>24</v>
      </c>
      <c r="G3" s="225"/>
      <c r="H3" s="225"/>
      <c r="I3" s="225"/>
      <c r="J3" s="226"/>
      <c r="L3" s="112" t="s">
        <v>22</v>
      </c>
      <c r="M3" s="224" t="s">
        <v>23</v>
      </c>
      <c r="N3" s="225"/>
      <c r="O3" s="225"/>
      <c r="P3" s="226"/>
      <c r="Q3" s="224" t="s">
        <v>24</v>
      </c>
      <c r="R3" s="225"/>
      <c r="S3" s="225"/>
      <c r="T3" s="225"/>
      <c r="U3" s="226"/>
    </row>
    <row r="4" spans="1:21" ht="15.75">
      <c r="A4" s="100"/>
      <c r="B4" s="227" t="s">
        <v>0</v>
      </c>
      <c r="C4" s="228"/>
      <c r="D4" s="228"/>
      <c r="E4" s="229"/>
      <c r="F4" s="227" t="s">
        <v>58</v>
      </c>
      <c r="G4" s="228"/>
      <c r="H4" s="115" t="s">
        <v>59</v>
      </c>
      <c r="I4" s="115" t="s">
        <v>60</v>
      </c>
      <c r="J4" s="99" t="s">
        <v>30</v>
      </c>
      <c r="L4" s="100"/>
      <c r="M4" s="227" t="s">
        <v>0</v>
      </c>
      <c r="N4" s="228"/>
      <c r="O4" s="228"/>
      <c r="P4" s="229"/>
      <c r="Q4" s="227" t="s">
        <v>58</v>
      </c>
      <c r="R4" s="228"/>
      <c r="S4" s="115" t="s">
        <v>59</v>
      </c>
      <c r="T4" s="115" t="s">
        <v>60</v>
      </c>
      <c r="U4" s="99" t="s">
        <v>30</v>
      </c>
    </row>
    <row r="5" spans="1:21" ht="15.75">
      <c r="A5" s="100" t="s">
        <v>5</v>
      </c>
      <c r="B5" s="230"/>
      <c r="C5" s="231"/>
      <c r="D5" s="231"/>
      <c r="E5" s="232"/>
      <c r="F5" s="230"/>
      <c r="G5" s="231"/>
      <c r="H5" s="115"/>
      <c r="I5" s="115" t="s">
        <v>67</v>
      </c>
      <c r="J5" s="99" t="s">
        <v>91</v>
      </c>
      <c r="L5" s="100" t="s">
        <v>5</v>
      </c>
      <c r="M5" s="230"/>
      <c r="N5" s="231"/>
      <c r="O5" s="231"/>
      <c r="P5" s="232"/>
      <c r="Q5" s="230"/>
      <c r="R5" s="231"/>
      <c r="S5" s="115"/>
      <c r="T5" s="115" t="s">
        <v>67</v>
      </c>
      <c r="U5" s="99" t="s">
        <v>91</v>
      </c>
    </row>
    <row r="6" spans="1:21" ht="15.75">
      <c r="A6" s="102"/>
      <c r="B6" s="103" t="s">
        <v>7</v>
      </c>
      <c r="C6" s="103" t="s">
        <v>8</v>
      </c>
      <c r="D6" s="103" t="s">
        <v>9</v>
      </c>
      <c r="E6" s="104" t="s">
        <v>10</v>
      </c>
      <c r="F6" s="103" t="s">
        <v>33</v>
      </c>
      <c r="G6" s="104" t="s">
        <v>34</v>
      </c>
      <c r="H6" s="105"/>
      <c r="I6" s="105"/>
      <c r="J6" s="106"/>
      <c r="L6" s="102"/>
      <c r="M6" s="103" t="s">
        <v>7</v>
      </c>
      <c r="N6" s="103" t="s">
        <v>8</v>
      </c>
      <c r="O6" s="103" t="s">
        <v>9</v>
      </c>
      <c r="P6" s="104" t="s">
        <v>10</v>
      </c>
      <c r="Q6" s="103" t="s">
        <v>33</v>
      </c>
      <c r="R6" s="104" t="s">
        <v>34</v>
      </c>
      <c r="S6" s="105"/>
      <c r="T6" s="105"/>
      <c r="U6" s="106"/>
    </row>
    <row r="7" spans="1:21" ht="15.75">
      <c r="A7" s="97" t="s">
        <v>68</v>
      </c>
      <c r="B7" s="115" t="s">
        <v>73</v>
      </c>
      <c r="C7" s="115" t="s">
        <v>73</v>
      </c>
      <c r="D7" s="115" t="s">
        <v>70</v>
      </c>
      <c r="E7" s="99" t="s">
        <v>70</v>
      </c>
      <c r="F7" s="115" t="s">
        <v>70</v>
      </c>
      <c r="G7" s="115" t="s">
        <v>70</v>
      </c>
      <c r="H7" s="115" t="s">
        <v>70</v>
      </c>
      <c r="I7" s="115" t="s">
        <v>73</v>
      </c>
      <c r="J7" s="99" t="s">
        <v>73</v>
      </c>
      <c r="L7" s="97" t="s">
        <v>68</v>
      </c>
      <c r="M7" s="115">
        <v>0</v>
      </c>
      <c r="N7" s="115">
        <v>0</v>
      </c>
      <c r="O7" s="115">
        <v>0.16700000000000001</v>
      </c>
      <c r="P7" s="115">
        <v>0.16700000000000001</v>
      </c>
      <c r="Q7" s="115">
        <v>0.16700000000000001</v>
      </c>
      <c r="R7" s="115">
        <v>0.16700000000000001</v>
      </c>
      <c r="S7" s="115">
        <v>0.16700000000000001</v>
      </c>
      <c r="T7" s="115">
        <v>0</v>
      </c>
      <c r="U7" s="115">
        <v>0</v>
      </c>
    </row>
    <row r="8" spans="1:21" ht="15.75">
      <c r="A8" s="97" t="s">
        <v>74</v>
      </c>
      <c r="B8" s="115" t="s">
        <v>73</v>
      </c>
      <c r="C8" s="115" t="s">
        <v>73</v>
      </c>
      <c r="D8" s="115" t="s">
        <v>70</v>
      </c>
      <c r="E8" s="99" t="s">
        <v>70</v>
      </c>
      <c r="F8" s="115" t="s">
        <v>70</v>
      </c>
      <c r="G8" s="115" t="s">
        <v>70</v>
      </c>
      <c r="H8" s="115" t="s">
        <v>70</v>
      </c>
      <c r="I8" s="115" t="s">
        <v>73</v>
      </c>
      <c r="J8" s="99" t="s">
        <v>73</v>
      </c>
      <c r="L8" s="97" t="s">
        <v>74</v>
      </c>
      <c r="M8" s="115">
        <v>0</v>
      </c>
      <c r="N8" s="115">
        <v>0</v>
      </c>
      <c r="O8" s="115">
        <v>0.16700000000000001</v>
      </c>
      <c r="P8" s="115">
        <v>0.16700000000000001</v>
      </c>
      <c r="Q8" s="115">
        <v>0.16700000000000001</v>
      </c>
      <c r="R8" s="115">
        <v>0.16700000000000001</v>
      </c>
      <c r="S8" s="115">
        <v>0.16700000000000001</v>
      </c>
      <c r="T8" s="115">
        <v>0</v>
      </c>
      <c r="U8" s="115">
        <v>0</v>
      </c>
    </row>
    <row r="9" spans="1:21" ht="31.5">
      <c r="A9" s="97" t="s">
        <v>92</v>
      </c>
      <c r="B9" s="115" t="s">
        <v>73</v>
      </c>
      <c r="C9" s="115" t="s">
        <v>73</v>
      </c>
      <c r="D9" s="115" t="s">
        <v>70</v>
      </c>
      <c r="E9" s="99" t="s">
        <v>70</v>
      </c>
      <c r="F9" s="115" t="s">
        <v>70</v>
      </c>
      <c r="G9" s="115" t="s">
        <v>70</v>
      </c>
      <c r="H9" s="115" t="s">
        <v>70</v>
      </c>
      <c r="I9" s="115" t="s">
        <v>73</v>
      </c>
      <c r="J9" s="99" t="s">
        <v>73</v>
      </c>
      <c r="L9" s="97" t="s">
        <v>92</v>
      </c>
      <c r="M9" s="115">
        <v>0</v>
      </c>
      <c r="N9" s="115">
        <v>0</v>
      </c>
      <c r="O9" s="115">
        <v>0.16700000000000001</v>
      </c>
      <c r="P9" s="115">
        <v>0.16700000000000001</v>
      </c>
      <c r="Q9" s="115">
        <v>0.16700000000000001</v>
      </c>
      <c r="R9" s="115">
        <v>0.16700000000000001</v>
      </c>
      <c r="S9" s="115">
        <v>0.16700000000000001</v>
      </c>
      <c r="T9" s="115">
        <v>0</v>
      </c>
      <c r="U9" s="115">
        <v>0</v>
      </c>
    </row>
    <row r="10" spans="1:21" ht="15.75">
      <c r="A10" s="97" t="s">
        <v>15</v>
      </c>
      <c r="B10" s="115" t="s">
        <v>73</v>
      </c>
      <c r="C10" s="115" t="s">
        <v>73</v>
      </c>
      <c r="D10" s="115" t="s">
        <v>73</v>
      </c>
      <c r="E10" s="99" t="s">
        <v>73</v>
      </c>
      <c r="F10" s="115" t="s">
        <v>73</v>
      </c>
      <c r="G10" s="115" t="s">
        <v>73</v>
      </c>
      <c r="H10" s="115" t="s">
        <v>73</v>
      </c>
      <c r="I10" s="115" t="s">
        <v>73</v>
      </c>
      <c r="J10" s="99" t="s">
        <v>73</v>
      </c>
      <c r="L10" s="97" t="s">
        <v>15</v>
      </c>
      <c r="M10" s="115">
        <v>0</v>
      </c>
      <c r="N10" s="115">
        <v>0</v>
      </c>
      <c r="O10" s="115">
        <v>0</v>
      </c>
      <c r="P10" s="115">
        <v>0</v>
      </c>
      <c r="Q10" s="115">
        <v>0</v>
      </c>
      <c r="R10" s="115">
        <v>0</v>
      </c>
      <c r="S10" s="115">
        <v>0</v>
      </c>
      <c r="T10" s="115">
        <v>0</v>
      </c>
      <c r="U10" s="115">
        <v>0</v>
      </c>
    </row>
    <row r="11" spans="1:21" ht="47.25">
      <c r="A11" s="97" t="s">
        <v>83</v>
      </c>
      <c r="B11" s="115" t="s">
        <v>73</v>
      </c>
      <c r="C11" s="115" t="s">
        <v>73</v>
      </c>
      <c r="D11" s="115" t="s">
        <v>73</v>
      </c>
      <c r="E11" s="99" t="s">
        <v>73</v>
      </c>
      <c r="F11" s="115" t="s">
        <v>73</v>
      </c>
      <c r="G11" s="115" t="s">
        <v>73</v>
      </c>
      <c r="H11" s="115" t="s">
        <v>73</v>
      </c>
      <c r="I11" s="115" t="s">
        <v>73</v>
      </c>
      <c r="J11" s="99" t="s">
        <v>73</v>
      </c>
      <c r="L11" s="97" t="s">
        <v>83</v>
      </c>
      <c r="M11" s="115">
        <v>0</v>
      </c>
      <c r="N11" s="115">
        <v>0</v>
      </c>
      <c r="O11" s="115">
        <v>0</v>
      </c>
      <c r="P11" s="115">
        <v>0</v>
      </c>
      <c r="Q11" s="115">
        <v>0</v>
      </c>
      <c r="R11" s="115">
        <v>0</v>
      </c>
      <c r="S11" s="115">
        <v>0</v>
      </c>
      <c r="T11" s="115">
        <v>0</v>
      </c>
      <c r="U11" s="115">
        <v>0</v>
      </c>
    </row>
    <row r="12" spans="1:21" ht="15.75">
      <c r="A12" s="109" t="s">
        <v>84</v>
      </c>
      <c r="B12" s="103" t="s">
        <v>93</v>
      </c>
      <c r="C12" s="103" t="s">
        <v>93</v>
      </c>
      <c r="D12" s="103" t="s">
        <v>19</v>
      </c>
      <c r="E12" s="104" t="s">
        <v>93</v>
      </c>
      <c r="F12" s="103" t="s">
        <v>93</v>
      </c>
      <c r="G12" s="103" t="s">
        <v>93</v>
      </c>
      <c r="H12" s="103" t="s">
        <v>93</v>
      </c>
      <c r="I12" s="103" t="s">
        <v>93</v>
      </c>
      <c r="J12" s="111" t="s">
        <v>19</v>
      </c>
      <c r="L12" s="109" t="s">
        <v>84</v>
      </c>
      <c r="M12" s="103" t="s">
        <v>93</v>
      </c>
      <c r="N12" s="103" t="s">
        <v>93</v>
      </c>
      <c r="O12" s="103" t="s">
        <v>19</v>
      </c>
      <c r="P12" s="104" t="s">
        <v>93</v>
      </c>
      <c r="Q12" s="103" t="s">
        <v>93</v>
      </c>
      <c r="R12" s="103" t="s">
        <v>93</v>
      </c>
      <c r="S12" s="103" t="s">
        <v>93</v>
      </c>
      <c r="T12" s="103" t="s">
        <v>93</v>
      </c>
      <c r="U12" s="111" t="s">
        <v>19</v>
      </c>
    </row>
    <row r="15" spans="1:21" ht="15.75">
      <c r="A15" s="112" t="s">
        <v>22</v>
      </c>
      <c r="B15" s="224" t="s">
        <v>23</v>
      </c>
      <c r="C15" s="225"/>
      <c r="D15" s="225"/>
      <c r="E15" s="226"/>
      <c r="F15" s="224" t="s">
        <v>24</v>
      </c>
      <c r="G15" s="225"/>
      <c r="H15" s="225"/>
      <c r="I15" s="225"/>
      <c r="J15" s="226"/>
      <c r="K15" s="99"/>
    </row>
    <row r="16" spans="1:21" ht="15.75">
      <c r="A16" s="100"/>
      <c r="B16" s="227" t="s">
        <v>0</v>
      </c>
      <c r="C16" s="228"/>
      <c r="D16" s="228"/>
      <c r="E16" s="229"/>
      <c r="F16" s="227" t="s">
        <v>58</v>
      </c>
      <c r="G16" s="228"/>
      <c r="H16" s="115" t="s">
        <v>59</v>
      </c>
      <c r="I16" s="115" t="s">
        <v>60</v>
      </c>
      <c r="J16" s="99"/>
      <c r="K16" s="99" t="s">
        <v>57</v>
      </c>
    </row>
    <row r="17" spans="1:13" ht="15.75">
      <c r="A17" s="100" t="s">
        <v>5</v>
      </c>
      <c r="B17" s="240"/>
      <c r="C17" s="241"/>
      <c r="D17" s="241"/>
      <c r="E17" s="242"/>
      <c r="F17" s="240"/>
      <c r="G17" s="241"/>
      <c r="H17" s="115"/>
      <c r="I17" s="115" t="s">
        <v>67</v>
      </c>
      <c r="J17" s="99" t="s">
        <v>66</v>
      </c>
      <c r="K17" s="165"/>
    </row>
    <row r="18" spans="1:13" ht="31.5">
      <c r="A18" s="109" t="s">
        <v>78</v>
      </c>
      <c r="B18" s="103" t="s">
        <v>7</v>
      </c>
      <c r="C18" s="103" t="s">
        <v>8</v>
      </c>
      <c r="D18" s="103" t="s">
        <v>9</v>
      </c>
      <c r="E18" s="104" t="s">
        <v>10</v>
      </c>
      <c r="F18" s="103" t="s">
        <v>33</v>
      </c>
      <c r="G18" s="104" t="s">
        <v>34</v>
      </c>
      <c r="H18" s="166"/>
      <c r="I18" s="166"/>
      <c r="J18" s="167"/>
      <c r="K18" s="167"/>
    </row>
    <row r="19" spans="1:13" ht="15.75">
      <c r="A19" s="97" t="s">
        <v>79</v>
      </c>
      <c r="B19" s="119">
        <f>'SUT1 (S)'!B20</f>
        <v>2200</v>
      </c>
      <c r="C19" s="119">
        <f>'SUT1 (S)'!C20</f>
        <v>110</v>
      </c>
      <c r="D19" s="119">
        <f>'SUT1 (S)'!D20</f>
        <v>1080</v>
      </c>
      <c r="E19" s="119">
        <f>'SUT1 (S)'!E20</f>
        <v>264</v>
      </c>
      <c r="F19" s="119">
        <v>2160</v>
      </c>
      <c r="G19" s="120"/>
      <c r="H19" s="119">
        <v>1440</v>
      </c>
      <c r="I19" s="119" t="s">
        <v>46</v>
      </c>
      <c r="J19" s="108">
        <v>2520</v>
      </c>
      <c r="K19" s="108">
        <f>SUM(B19:H19)+J19</f>
        <v>9774</v>
      </c>
    </row>
    <row r="20" spans="1:13" ht="15.75">
      <c r="A20" s="121" t="s">
        <v>80</v>
      </c>
      <c r="B20" s="122">
        <f>(M8)*B19</f>
        <v>0</v>
      </c>
      <c r="C20" s="122">
        <f t="shared" ref="C20" si="0">(N8)*C19</f>
        <v>0</v>
      </c>
      <c r="D20" s="122">
        <f>ROUND((O8)*D19,0)</f>
        <v>180</v>
      </c>
      <c r="E20" s="122">
        <f>ROUND((P8)*E19,0)</f>
        <v>44</v>
      </c>
      <c r="F20" s="168">
        <f>ROUND((Q8)*F19,0)-1</f>
        <v>360</v>
      </c>
      <c r="G20" s="124" t="s">
        <v>19</v>
      </c>
      <c r="H20" s="122">
        <f>ROUND(H19*S8,0)</f>
        <v>240</v>
      </c>
      <c r="I20" s="122">
        <v>0</v>
      </c>
      <c r="J20" s="123">
        <v>0</v>
      </c>
      <c r="K20" s="108">
        <f>SUM(B20:H20)+J20</f>
        <v>824</v>
      </c>
    </row>
    <row r="21" spans="1:13" ht="15.75">
      <c r="A21" s="97" t="s">
        <v>81</v>
      </c>
      <c r="B21" s="119">
        <f>'SUT1 (S)'!B21</f>
        <v>60</v>
      </c>
      <c r="C21" s="119">
        <f>'SUT1 (S)'!C21</f>
        <v>13</v>
      </c>
      <c r="D21" s="119">
        <f>'SUT1 (S)'!D21</f>
        <v>180</v>
      </c>
      <c r="E21" s="119">
        <f>'SUT1 (S)'!E21</f>
        <v>72</v>
      </c>
      <c r="F21" s="119">
        <f>'SUT1 (S)'!F21</f>
        <v>816</v>
      </c>
      <c r="G21" s="120"/>
      <c r="H21" s="120"/>
      <c r="I21" s="119" t="s">
        <v>46</v>
      </c>
      <c r="J21" s="125"/>
      <c r="K21" s="108">
        <f t="shared" ref="K21:K24" si="1">SUM(B21:H21)+J21</f>
        <v>1141</v>
      </c>
    </row>
    <row r="22" spans="1:13" ht="15.75">
      <c r="A22" s="121" t="s">
        <v>80</v>
      </c>
      <c r="B22" s="122">
        <f>B21*M8</f>
        <v>0</v>
      </c>
      <c r="C22" s="122">
        <f t="shared" ref="C22" si="2">C21*N8</f>
        <v>0</v>
      </c>
      <c r="D22" s="122">
        <f>ROUND(D21*O8,0)</f>
        <v>30</v>
      </c>
      <c r="E22" s="122">
        <f t="shared" ref="E22:F22" si="3">ROUND(E21*P8,0)</f>
        <v>12</v>
      </c>
      <c r="F22" s="122">
        <f t="shared" si="3"/>
        <v>136</v>
      </c>
      <c r="G22" s="124" t="s">
        <v>19</v>
      </c>
      <c r="H22" s="122">
        <v>0</v>
      </c>
      <c r="I22" s="126"/>
      <c r="J22" s="123">
        <v>0</v>
      </c>
      <c r="K22" s="108">
        <f t="shared" si="1"/>
        <v>178</v>
      </c>
    </row>
    <row r="23" spans="1:13" ht="31.5">
      <c r="A23" s="97" t="s">
        <v>14</v>
      </c>
      <c r="B23" s="119">
        <f>'SUT1 (S)'!B22</f>
        <v>360</v>
      </c>
      <c r="C23" s="119">
        <f>'SUT1 (S)'!C22</f>
        <v>22</v>
      </c>
      <c r="D23" s="119">
        <f>'SUT1 (S)'!D22</f>
        <v>138</v>
      </c>
      <c r="E23" s="119">
        <f>'SUT1 (S)'!E22</f>
        <v>12</v>
      </c>
      <c r="F23" s="119">
        <f>'SUT1 (S)'!F22</f>
        <v>132</v>
      </c>
      <c r="G23" s="120"/>
      <c r="H23" s="120"/>
      <c r="I23" s="119" t="s">
        <v>46</v>
      </c>
      <c r="J23" s="108">
        <v>10</v>
      </c>
      <c r="K23" s="108">
        <f t="shared" si="1"/>
        <v>674</v>
      </c>
    </row>
    <row r="24" spans="1:13" ht="15.75">
      <c r="A24" s="127" t="s">
        <v>80</v>
      </c>
      <c r="B24" s="128">
        <f>B23*M9</f>
        <v>0</v>
      </c>
      <c r="C24" s="128">
        <v>0</v>
      </c>
      <c r="D24" s="128">
        <v>23</v>
      </c>
      <c r="E24" s="129">
        <v>2</v>
      </c>
      <c r="F24" s="128">
        <v>22</v>
      </c>
      <c r="G24" s="130" t="s">
        <v>19</v>
      </c>
      <c r="H24" s="128">
        <v>0</v>
      </c>
      <c r="I24" s="128">
        <v>0</v>
      </c>
      <c r="J24" s="129">
        <v>0</v>
      </c>
      <c r="K24" s="108">
        <f t="shared" si="1"/>
        <v>47</v>
      </c>
      <c r="M24" t="s">
        <v>150</v>
      </c>
    </row>
    <row r="25" spans="1:13" ht="15.75">
      <c r="A25" s="121" t="s">
        <v>82</v>
      </c>
      <c r="B25" s="128">
        <f>B20+B22+B24</f>
        <v>0</v>
      </c>
      <c r="C25" s="128">
        <f t="shared" ref="C25:E25" si="4">C20+C22+C24</f>
        <v>0</v>
      </c>
      <c r="D25" s="128">
        <f t="shared" si="4"/>
        <v>233</v>
      </c>
      <c r="E25" s="128">
        <f t="shared" si="4"/>
        <v>58</v>
      </c>
      <c r="F25" s="128">
        <f>F20+F22+F24</f>
        <v>518</v>
      </c>
      <c r="G25" s="130" t="s">
        <v>19</v>
      </c>
      <c r="H25" s="128">
        <f>H20+H22+H24</f>
        <v>240</v>
      </c>
      <c r="I25" s="128">
        <v>0</v>
      </c>
      <c r="J25" s="129">
        <v>0</v>
      </c>
      <c r="K25" s="108">
        <f>SUM(B25:J25)</f>
        <v>1049</v>
      </c>
      <c r="M25">
        <v>1028</v>
      </c>
    </row>
  </sheetData>
  <mergeCells count="24">
    <mergeCell ref="Q5:R5"/>
    <mergeCell ref="B17:E17"/>
    <mergeCell ref="F17:G17"/>
    <mergeCell ref="L1:U1"/>
    <mergeCell ref="M2:P2"/>
    <mergeCell ref="Q2:U2"/>
    <mergeCell ref="M3:P3"/>
    <mergeCell ref="Q3:U3"/>
    <mergeCell ref="M4:P4"/>
    <mergeCell ref="Q4:R4"/>
    <mergeCell ref="M5:P5"/>
    <mergeCell ref="B5:E5"/>
    <mergeCell ref="F5:G5"/>
    <mergeCell ref="B15:E15"/>
    <mergeCell ref="F15:J15"/>
    <mergeCell ref="B16:E16"/>
    <mergeCell ref="F16:G16"/>
    <mergeCell ref="A1:J1"/>
    <mergeCell ref="B2:E2"/>
    <mergeCell ref="F2:J2"/>
    <mergeCell ref="B3:E3"/>
    <mergeCell ref="F3:J3"/>
    <mergeCell ref="B4:E4"/>
    <mergeCell ref="F4:G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U20"/>
  <sheetViews>
    <sheetView workbookViewId="0">
      <selection activeCell="F17" sqref="F17"/>
    </sheetView>
  </sheetViews>
  <sheetFormatPr baseColWidth="10" defaultRowHeight="15"/>
  <cols>
    <col min="13" max="13" width="13" bestFit="1" customWidth="1"/>
  </cols>
  <sheetData>
    <row r="1" spans="1:21" ht="15.75">
      <c r="A1" s="235" t="s">
        <v>120</v>
      </c>
      <c r="B1" s="235"/>
      <c r="C1" s="235"/>
      <c r="D1" s="235"/>
      <c r="E1" s="235"/>
      <c r="F1" s="235"/>
      <c r="G1" s="235"/>
      <c r="H1" s="235"/>
      <c r="I1" s="235"/>
      <c r="J1" s="235"/>
      <c r="L1" s="235" t="s">
        <v>128</v>
      </c>
      <c r="M1" s="235"/>
      <c r="N1" s="235"/>
      <c r="O1" s="235"/>
      <c r="P1" s="235"/>
      <c r="Q1" s="235"/>
      <c r="R1" s="235"/>
      <c r="S1" s="235"/>
      <c r="T1" s="235"/>
      <c r="U1" s="235"/>
    </row>
    <row r="2" spans="1:21" ht="15.75">
      <c r="A2" s="96" t="s">
        <v>22</v>
      </c>
      <c r="B2" s="248" t="s">
        <v>23</v>
      </c>
      <c r="C2" s="249"/>
      <c r="D2" s="249"/>
      <c r="E2" s="250"/>
      <c r="F2" s="248" t="s">
        <v>24</v>
      </c>
      <c r="G2" s="249"/>
      <c r="H2" s="249"/>
      <c r="I2" s="249"/>
      <c r="J2" s="250"/>
      <c r="L2" s="96" t="s">
        <v>22</v>
      </c>
      <c r="M2" s="248" t="s">
        <v>23</v>
      </c>
      <c r="N2" s="249"/>
      <c r="O2" s="249"/>
      <c r="P2" s="250"/>
      <c r="Q2" s="248" t="s">
        <v>24</v>
      </c>
      <c r="R2" s="249"/>
      <c r="S2" s="249"/>
      <c r="T2" s="249"/>
      <c r="U2" s="250"/>
    </row>
    <row r="3" spans="1:21" ht="15.75">
      <c r="A3" s="97"/>
      <c r="B3" s="227" t="s">
        <v>0</v>
      </c>
      <c r="C3" s="251"/>
      <c r="D3" s="251"/>
      <c r="E3" s="229"/>
      <c r="F3" s="233"/>
      <c r="G3" s="234"/>
      <c r="H3" s="98" t="s">
        <v>59</v>
      </c>
      <c r="I3" s="98" t="s">
        <v>60</v>
      </c>
      <c r="J3" s="99" t="s">
        <v>66</v>
      </c>
      <c r="L3" s="97"/>
      <c r="M3" s="227" t="s">
        <v>0</v>
      </c>
      <c r="N3" s="251"/>
      <c r="O3" s="251"/>
      <c r="P3" s="229"/>
      <c r="Q3" s="233"/>
      <c r="R3" s="234"/>
      <c r="S3" s="98" t="s">
        <v>59</v>
      </c>
      <c r="T3" s="98" t="s">
        <v>60</v>
      </c>
      <c r="U3" s="99" t="s">
        <v>66</v>
      </c>
    </row>
    <row r="4" spans="1:21" ht="15.75">
      <c r="A4" s="100" t="s">
        <v>5</v>
      </c>
      <c r="B4" s="101"/>
      <c r="C4" s="101"/>
      <c r="D4" s="101"/>
      <c r="E4" s="101"/>
      <c r="F4" s="227" t="s">
        <v>58</v>
      </c>
      <c r="G4" s="251"/>
      <c r="H4" s="98"/>
      <c r="I4" s="98" t="s">
        <v>67</v>
      </c>
      <c r="J4" s="99"/>
      <c r="L4" s="100" t="s">
        <v>5</v>
      </c>
      <c r="M4" s="101"/>
      <c r="N4" s="101"/>
      <c r="O4" s="101"/>
      <c r="P4" s="101"/>
      <c r="Q4" s="227" t="s">
        <v>58</v>
      </c>
      <c r="R4" s="251"/>
      <c r="S4" s="98"/>
      <c r="T4" s="98" t="s">
        <v>67</v>
      </c>
      <c r="U4" s="99"/>
    </row>
    <row r="5" spans="1:21" ht="15.75">
      <c r="A5" s="102"/>
      <c r="B5" s="103" t="s">
        <v>7</v>
      </c>
      <c r="C5" s="103" t="s">
        <v>8</v>
      </c>
      <c r="D5" s="103" t="s">
        <v>9</v>
      </c>
      <c r="E5" s="104" t="s">
        <v>10</v>
      </c>
      <c r="F5" s="103" t="s">
        <v>94</v>
      </c>
      <c r="G5" s="104" t="s">
        <v>34</v>
      </c>
      <c r="H5" s="105"/>
      <c r="I5" s="105"/>
      <c r="J5" s="106"/>
      <c r="L5" s="102"/>
      <c r="M5" s="103" t="s">
        <v>7</v>
      </c>
      <c r="N5" s="103" t="s">
        <v>8</v>
      </c>
      <c r="O5" s="103" t="s">
        <v>9</v>
      </c>
      <c r="P5" s="104" t="s">
        <v>10</v>
      </c>
      <c r="Q5" s="103" t="s">
        <v>94</v>
      </c>
      <c r="R5" s="104" t="s">
        <v>34</v>
      </c>
      <c r="S5" s="105"/>
      <c r="T5" s="105"/>
      <c r="U5" s="106"/>
    </row>
    <row r="6" spans="1:21" ht="15.75">
      <c r="A6" s="97" t="s">
        <v>68</v>
      </c>
      <c r="B6" s="107" t="s">
        <v>69</v>
      </c>
      <c r="C6" s="107" t="s">
        <v>69</v>
      </c>
      <c r="D6" s="107" t="s">
        <v>70</v>
      </c>
      <c r="E6" s="108" t="s">
        <v>69</v>
      </c>
      <c r="F6" s="107" t="s">
        <v>71</v>
      </c>
      <c r="G6" s="107" t="s">
        <v>72</v>
      </c>
      <c r="H6" s="107" t="s">
        <v>70</v>
      </c>
      <c r="I6" s="107" t="s">
        <v>73</v>
      </c>
      <c r="J6" s="108" t="s">
        <v>70</v>
      </c>
      <c r="L6" s="97" t="s">
        <v>68</v>
      </c>
      <c r="M6" s="192">
        <f>USES!B26/(1+USES!B26)</f>
        <v>9.0909090909090912E-2</v>
      </c>
      <c r="N6" s="192">
        <f>USES!C26/(1+USES!C26)</f>
        <v>9.0909090909090912E-2</v>
      </c>
      <c r="O6" s="192">
        <f>USES!D26/(1+USES!D26)</f>
        <v>0.16666666666666669</v>
      </c>
      <c r="P6" s="192">
        <f>USES!E26/(1+USES!E26)</f>
        <v>9.0909090909090912E-2</v>
      </c>
      <c r="Q6" s="192">
        <f>USES!F26/(1+USES!F26)</f>
        <v>0.33333333333333331</v>
      </c>
      <c r="R6" s="107" t="s">
        <v>72</v>
      </c>
      <c r="S6" s="192">
        <f>USES!H26/(1+USES!H26)</f>
        <v>0.16666666666666669</v>
      </c>
      <c r="T6" s="107">
        <v>0</v>
      </c>
      <c r="U6" s="192">
        <f>USES!J26/(1+USES!J26)</f>
        <v>0.16666666666666669</v>
      </c>
    </row>
    <row r="7" spans="1:21" ht="15.75">
      <c r="A7" s="109" t="s">
        <v>74</v>
      </c>
      <c r="B7" s="110" t="s">
        <v>70</v>
      </c>
      <c r="C7" s="110" t="s">
        <v>75</v>
      </c>
      <c r="D7" s="110" t="s">
        <v>76</v>
      </c>
      <c r="E7" s="111" t="s">
        <v>70</v>
      </c>
      <c r="F7" s="110" t="s">
        <v>77</v>
      </c>
      <c r="G7" s="110" t="s">
        <v>72</v>
      </c>
      <c r="H7" s="110" t="s">
        <v>73</v>
      </c>
      <c r="I7" s="110" t="s">
        <v>73</v>
      </c>
      <c r="J7" s="111" t="s">
        <v>73</v>
      </c>
      <c r="L7" s="109" t="s">
        <v>74</v>
      </c>
      <c r="M7" s="192">
        <f>USES!B27/(1+USES!B27)</f>
        <v>0.16666666666666669</v>
      </c>
      <c r="N7" s="192">
        <f>USES!C27/(1+USES!C27)</f>
        <v>0.23076923076923075</v>
      </c>
      <c r="O7" s="192">
        <f>USES!D27/(1+USES!D27)</f>
        <v>0.2</v>
      </c>
      <c r="P7" s="192">
        <f>USES!E27/(1+USES!E27)</f>
        <v>0.16666666666666669</v>
      </c>
      <c r="Q7" s="192">
        <f>USES!F27/(1+USES!F27)</f>
        <v>0.41176470588235292</v>
      </c>
      <c r="R7" s="110" t="s">
        <v>72</v>
      </c>
      <c r="S7" s="192">
        <f>USES!H27/(1+USES!H27)</f>
        <v>0</v>
      </c>
      <c r="T7" s="110">
        <v>0</v>
      </c>
      <c r="U7" s="111">
        <v>0</v>
      </c>
    </row>
    <row r="9" spans="1:21">
      <c r="L9" t="s">
        <v>127</v>
      </c>
    </row>
    <row r="10" spans="1:21" ht="29.25">
      <c r="A10" s="235" t="s">
        <v>95</v>
      </c>
      <c r="B10" s="235"/>
      <c r="C10" s="235"/>
      <c r="D10" s="235"/>
      <c r="E10" s="235"/>
      <c r="F10" s="235"/>
      <c r="G10" s="235"/>
      <c r="H10" s="235"/>
      <c r="I10" s="235"/>
      <c r="J10" s="235"/>
      <c r="K10" s="235"/>
      <c r="L10" s="193" t="s">
        <v>126</v>
      </c>
    </row>
    <row r="11" spans="1:21" ht="29.25">
      <c r="A11" s="137"/>
      <c r="B11" s="252"/>
      <c r="C11" s="253"/>
      <c r="D11" s="253"/>
      <c r="E11" s="254"/>
      <c r="F11" s="246"/>
      <c r="G11" s="247"/>
      <c r="H11" s="247"/>
      <c r="I11" s="247"/>
      <c r="J11" s="255"/>
      <c r="K11" s="7"/>
      <c r="L11" s="194" t="s">
        <v>121</v>
      </c>
    </row>
    <row r="12" spans="1:21" ht="29.25">
      <c r="A12" s="27" t="s">
        <v>22</v>
      </c>
      <c r="B12" s="243" t="s">
        <v>23</v>
      </c>
      <c r="C12" s="244"/>
      <c r="D12" s="244"/>
      <c r="E12" s="245"/>
      <c r="F12" s="243" t="s">
        <v>24</v>
      </c>
      <c r="G12" s="244"/>
      <c r="H12" s="244"/>
      <c r="I12" s="244"/>
      <c r="J12" s="245"/>
      <c r="K12" s="2"/>
      <c r="L12" s="195" t="s">
        <v>122</v>
      </c>
    </row>
    <row r="13" spans="1:21" ht="29.25">
      <c r="A13" s="14"/>
      <c r="B13" s="243" t="s">
        <v>0</v>
      </c>
      <c r="C13" s="244"/>
      <c r="D13" s="244"/>
      <c r="E13" s="245"/>
      <c r="F13" s="246"/>
      <c r="G13" s="247"/>
      <c r="H13" s="115" t="s">
        <v>59</v>
      </c>
      <c r="I13" s="115" t="s">
        <v>60</v>
      </c>
      <c r="J13" s="15"/>
      <c r="K13" s="2" t="s">
        <v>56</v>
      </c>
      <c r="L13" s="195" t="s">
        <v>123</v>
      </c>
      <c r="N13" s="194" t="s">
        <v>124</v>
      </c>
      <c r="P13" s="194" t="s">
        <v>125</v>
      </c>
    </row>
    <row r="14" spans="1:21" ht="15.75">
      <c r="A14" s="1" t="s">
        <v>5</v>
      </c>
      <c r="F14" s="243" t="s">
        <v>58</v>
      </c>
      <c r="G14" s="244"/>
      <c r="H14" s="115"/>
      <c r="I14" s="115" t="s">
        <v>67</v>
      </c>
      <c r="J14" s="2" t="s">
        <v>66</v>
      </c>
      <c r="K14" s="2" t="s">
        <v>57</v>
      </c>
    </row>
    <row r="15" spans="1:21" ht="38.25">
      <c r="A15" s="21" t="s">
        <v>96</v>
      </c>
      <c r="B15" s="10" t="s">
        <v>7</v>
      </c>
      <c r="C15" s="10" t="s">
        <v>8</v>
      </c>
      <c r="D15" s="10" t="s">
        <v>9</v>
      </c>
      <c r="E15" s="11" t="s">
        <v>10</v>
      </c>
      <c r="F15" s="10" t="s">
        <v>33</v>
      </c>
      <c r="G15" s="11" t="s">
        <v>34</v>
      </c>
      <c r="H15" s="13"/>
      <c r="I15" s="13"/>
      <c r="J15" s="12"/>
      <c r="K15" s="12"/>
    </row>
    <row r="16" spans="1:21">
      <c r="A16" s="14" t="s">
        <v>97</v>
      </c>
      <c r="B16" s="17">
        <f>USES!B5</f>
        <v>2200</v>
      </c>
      <c r="C16" s="17">
        <f>USES!C5</f>
        <v>110</v>
      </c>
      <c r="D16" s="17">
        <v>900</v>
      </c>
      <c r="E16" s="19">
        <v>220</v>
      </c>
      <c r="F16" s="17">
        <v>1800</v>
      </c>
      <c r="G16" s="3" t="s">
        <v>19</v>
      </c>
      <c r="H16" s="17">
        <v>1200</v>
      </c>
      <c r="I16" s="17" t="s">
        <v>98</v>
      </c>
      <c r="J16" s="19">
        <v>2520</v>
      </c>
      <c r="K16" s="19" t="s">
        <v>36</v>
      </c>
    </row>
    <row r="17" spans="1:11" ht="25.5">
      <c r="A17" s="138" t="s">
        <v>99</v>
      </c>
      <c r="B17" s="196">
        <f>ROUND(B16*M6,0)</f>
        <v>200</v>
      </c>
      <c r="C17" s="196">
        <f t="shared" ref="C17:J17" si="0">ROUND(C16*N6,0)</f>
        <v>10</v>
      </c>
      <c r="D17" s="196">
        <f t="shared" si="0"/>
        <v>150</v>
      </c>
      <c r="E17" s="196">
        <f t="shared" si="0"/>
        <v>20</v>
      </c>
      <c r="F17" s="196">
        <f t="shared" si="0"/>
        <v>600</v>
      </c>
      <c r="G17" s="139" t="s">
        <v>19</v>
      </c>
      <c r="H17" s="196">
        <f t="shared" si="0"/>
        <v>200</v>
      </c>
      <c r="I17" s="32">
        <v>0</v>
      </c>
      <c r="J17" s="196">
        <f t="shared" si="0"/>
        <v>420</v>
      </c>
      <c r="K17" s="197">
        <f>SUM(B17:J17)</f>
        <v>1600</v>
      </c>
    </row>
    <row r="18" spans="1:11">
      <c r="A18" s="14" t="s">
        <v>100</v>
      </c>
      <c r="B18" s="17">
        <v>60</v>
      </c>
      <c r="C18" s="17">
        <v>13</v>
      </c>
      <c r="D18" s="17">
        <v>150</v>
      </c>
      <c r="E18" s="19">
        <v>60</v>
      </c>
      <c r="F18" s="17">
        <v>680</v>
      </c>
      <c r="G18" s="3" t="s">
        <v>19</v>
      </c>
      <c r="H18" s="17">
        <v>0</v>
      </c>
      <c r="I18" s="17" t="s">
        <v>46</v>
      </c>
      <c r="J18" s="19">
        <v>0</v>
      </c>
      <c r="K18" s="19" t="s">
        <v>101</v>
      </c>
    </row>
    <row r="19" spans="1:11" ht="25.5">
      <c r="A19" s="140" t="s">
        <v>99</v>
      </c>
      <c r="B19" s="196">
        <f>ROUND(B18*M7,0)</f>
        <v>10</v>
      </c>
      <c r="C19" s="196">
        <f t="shared" ref="C19:E19" si="1">ROUND(C18*N7,0)</f>
        <v>3</v>
      </c>
      <c r="D19" s="196">
        <f t="shared" si="1"/>
        <v>30</v>
      </c>
      <c r="E19" s="196">
        <f t="shared" si="1"/>
        <v>10</v>
      </c>
      <c r="F19" s="196">
        <f>ROUND(F18*Q7,0)</f>
        <v>280</v>
      </c>
      <c r="G19" s="141" t="s">
        <v>19</v>
      </c>
      <c r="H19" s="196">
        <f>ROUND(H18*S7,0)</f>
        <v>0</v>
      </c>
      <c r="I19" s="35">
        <v>0</v>
      </c>
      <c r="J19" s="196">
        <f>ROUND(J18*U7,0)</f>
        <v>0</v>
      </c>
      <c r="K19" s="197">
        <f>SUM(B19:J19)</f>
        <v>333</v>
      </c>
    </row>
    <row r="20" spans="1:11" ht="25.5">
      <c r="A20" s="31" t="s">
        <v>102</v>
      </c>
      <c r="B20" s="198">
        <f>B17+B19</f>
        <v>210</v>
      </c>
      <c r="C20" s="198">
        <f t="shared" ref="C20:K20" si="2">C17+C19</f>
        <v>13</v>
      </c>
      <c r="D20" s="198">
        <f t="shared" si="2"/>
        <v>180</v>
      </c>
      <c r="E20" s="198">
        <f t="shared" si="2"/>
        <v>30</v>
      </c>
      <c r="F20" s="198">
        <f t="shared" si="2"/>
        <v>880</v>
      </c>
      <c r="G20" s="198">
        <v>0</v>
      </c>
      <c r="H20" s="198">
        <f t="shared" si="2"/>
        <v>200</v>
      </c>
      <c r="I20" s="198">
        <f t="shared" si="2"/>
        <v>0</v>
      </c>
      <c r="J20" s="198">
        <f t="shared" si="2"/>
        <v>420</v>
      </c>
      <c r="K20" s="198">
        <f t="shared" si="2"/>
        <v>1933</v>
      </c>
    </row>
  </sheetData>
  <mergeCells count="20">
    <mergeCell ref="Q4:R4"/>
    <mergeCell ref="A10:K10"/>
    <mergeCell ref="B11:E11"/>
    <mergeCell ref="F11:J11"/>
    <mergeCell ref="F2:J2"/>
    <mergeCell ref="B3:E3"/>
    <mergeCell ref="F3:G3"/>
    <mergeCell ref="F4:G4"/>
    <mergeCell ref="M3:P3"/>
    <mergeCell ref="Q3:R3"/>
    <mergeCell ref="A1:J1"/>
    <mergeCell ref="B2:E2"/>
    <mergeCell ref="L1:U1"/>
    <mergeCell ref="M2:P2"/>
    <mergeCell ref="Q2:U2"/>
    <mergeCell ref="F14:G14"/>
    <mergeCell ref="B13:E13"/>
    <mergeCell ref="F13:G13"/>
    <mergeCell ref="B12:E12"/>
    <mergeCell ref="F12:J1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Q11"/>
  <sheetViews>
    <sheetView workbookViewId="0">
      <selection activeCell="I9" sqref="I9"/>
    </sheetView>
  </sheetViews>
  <sheetFormatPr baseColWidth="10" defaultRowHeight="15"/>
  <sheetData>
    <row r="1" spans="1:17" ht="26.25">
      <c r="A1" s="14"/>
      <c r="B1" s="252"/>
      <c r="C1" s="253"/>
      <c r="D1" s="253"/>
      <c r="E1" s="254"/>
      <c r="F1" s="246"/>
      <c r="G1" s="247"/>
      <c r="H1" s="247"/>
      <c r="I1" s="247"/>
      <c r="J1" s="255"/>
      <c r="K1" s="16"/>
      <c r="L1" s="194" t="s">
        <v>144</v>
      </c>
    </row>
    <row r="2" spans="1:17" ht="26.25">
      <c r="A2" s="27" t="s">
        <v>22</v>
      </c>
      <c r="B2" s="243" t="s">
        <v>23</v>
      </c>
      <c r="C2" s="244"/>
      <c r="D2" s="244"/>
      <c r="E2" s="245"/>
      <c r="F2" s="243" t="s">
        <v>24</v>
      </c>
      <c r="G2" s="244"/>
      <c r="H2" s="244"/>
      <c r="I2" s="244"/>
      <c r="J2" s="245"/>
      <c r="K2" s="143"/>
      <c r="L2" s="194"/>
    </row>
    <row r="3" spans="1:17" ht="26.25">
      <c r="A3" s="14"/>
      <c r="B3" s="246"/>
      <c r="C3" s="247"/>
      <c r="D3" s="247"/>
      <c r="E3" s="255"/>
      <c r="F3" s="246"/>
      <c r="G3" s="247"/>
      <c r="H3" s="18"/>
      <c r="I3" s="18"/>
      <c r="J3" s="20"/>
      <c r="K3" s="143" t="s">
        <v>56</v>
      </c>
      <c r="L3" s="194" t="s">
        <v>145</v>
      </c>
    </row>
    <row r="4" spans="1:17" ht="26.25">
      <c r="A4" s="1"/>
      <c r="B4" s="256" t="s">
        <v>0</v>
      </c>
      <c r="C4" s="257"/>
      <c r="D4" s="257"/>
      <c r="E4" s="258"/>
      <c r="F4" s="256" t="s">
        <v>58</v>
      </c>
      <c r="G4" s="257"/>
      <c r="H4" s="115" t="s">
        <v>59</v>
      </c>
      <c r="I4" s="115" t="s">
        <v>60</v>
      </c>
      <c r="J4" s="143"/>
      <c r="K4" s="143" t="s">
        <v>57</v>
      </c>
      <c r="L4" s="194" t="s">
        <v>146</v>
      </c>
    </row>
    <row r="5" spans="1:17" ht="26.25">
      <c r="A5" s="1" t="s">
        <v>5</v>
      </c>
      <c r="B5" s="259"/>
      <c r="C5" s="260"/>
      <c r="D5" s="260"/>
      <c r="E5" s="261"/>
      <c r="F5" s="259"/>
      <c r="G5" s="260"/>
      <c r="H5" s="115"/>
      <c r="I5" s="115" t="s">
        <v>67</v>
      </c>
      <c r="J5" s="143" t="s">
        <v>66</v>
      </c>
      <c r="K5" s="8"/>
      <c r="L5" s="194" t="s">
        <v>147</v>
      </c>
      <c r="M5" s="213" t="s">
        <v>148</v>
      </c>
      <c r="Q5" s="194" t="s">
        <v>149</v>
      </c>
    </row>
    <row r="6" spans="1:17" ht="45">
      <c r="A6" s="9" t="s">
        <v>103</v>
      </c>
      <c r="B6" s="10" t="s">
        <v>7</v>
      </c>
      <c r="C6" s="10" t="s">
        <v>8</v>
      </c>
      <c r="D6" s="10" t="s">
        <v>9</v>
      </c>
      <c r="E6" s="28" t="s">
        <v>10</v>
      </c>
      <c r="F6" s="10" t="s">
        <v>33</v>
      </c>
      <c r="G6" s="28" t="s">
        <v>34</v>
      </c>
      <c r="H6" s="144"/>
      <c r="I6" s="144"/>
      <c r="J6" s="145"/>
      <c r="K6" s="145"/>
    </row>
    <row r="7" spans="1:17">
      <c r="A7" s="14" t="s">
        <v>63</v>
      </c>
      <c r="B7" s="17">
        <f>USES!B9</f>
        <v>360</v>
      </c>
      <c r="C7" s="17">
        <f>USES!C9</f>
        <v>22</v>
      </c>
      <c r="D7" s="17">
        <f>USES!D9</f>
        <v>138</v>
      </c>
      <c r="E7" s="17">
        <f>USES!E9</f>
        <v>12</v>
      </c>
      <c r="F7" s="17">
        <f>USES!F9</f>
        <v>132</v>
      </c>
      <c r="J7" s="19">
        <f>USES!J9</f>
        <v>10</v>
      </c>
      <c r="K7" s="19">
        <f>SUM(B6:J7)</f>
        <v>674</v>
      </c>
    </row>
    <row r="8" spans="1:17">
      <c r="A8" s="31" t="s">
        <v>37</v>
      </c>
      <c r="B8" s="32">
        <f>VATS!B24</f>
        <v>0</v>
      </c>
      <c r="C8" s="32">
        <f>VATS!C24</f>
        <v>0</v>
      </c>
      <c r="D8" s="32">
        <f>VATS!D24</f>
        <v>23</v>
      </c>
      <c r="E8" s="32">
        <f>VATS!E24</f>
        <v>2</v>
      </c>
      <c r="F8" s="32">
        <f>VATS!F24</f>
        <v>22</v>
      </c>
      <c r="G8" s="32" t="str">
        <f>VATS!G24</f>
        <v>‑</v>
      </c>
      <c r="H8" s="32">
        <f>VATS!H24</f>
        <v>0</v>
      </c>
      <c r="I8" s="32">
        <f>VATS!I24</f>
        <v>0</v>
      </c>
      <c r="J8" s="32">
        <f>VATS!J24</f>
        <v>0</v>
      </c>
      <c r="K8" s="32">
        <f>VATS!K24</f>
        <v>47</v>
      </c>
    </row>
    <row r="9" spans="1:17" ht="63.75">
      <c r="A9" s="31" t="s">
        <v>104</v>
      </c>
      <c r="B9" s="32">
        <f>B7-B8</f>
        <v>360</v>
      </c>
      <c r="C9" s="32">
        <f t="shared" ref="C9:K9" si="0">C7-C8</f>
        <v>22</v>
      </c>
      <c r="D9" s="32">
        <f t="shared" si="0"/>
        <v>115</v>
      </c>
      <c r="E9" s="32">
        <f t="shared" si="0"/>
        <v>10</v>
      </c>
      <c r="F9" s="32">
        <f t="shared" si="0"/>
        <v>110</v>
      </c>
      <c r="G9" s="32"/>
      <c r="H9" s="32">
        <f t="shared" si="0"/>
        <v>0</v>
      </c>
      <c r="I9" s="32">
        <f t="shared" si="0"/>
        <v>0</v>
      </c>
      <c r="J9" s="32">
        <f t="shared" si="0"/>
        <v>10</v>
      </c>
      <c r="K9" s="32">
        <f t="shared" si="0"/>
        <v>627</v>
      </c>
      <c r="M9" t="s">
        <v>136</v>
      </c>
    </row>
    <row r="10" spans="1:17" ht="25.5">
      <c r="A10" s="14" t="s">
        <v>64</v>
      </c>
      <c r="B10" s="17">
        <v>0</v>
      </c>
      <c r="C10" s="17">
        <f>ROUND(C9*0.1/(1+0.1),0)</f>
        <v>2</v>
      </c>
      <c r="D10" s="17">
        <f t="shared" ref="D10:F10" si="1">ROUND(D9*0.1/(1+0.1),0)</f>
        <v>10</v>
      </c>
      <c r="E10" s="17">
        <f t="shared" si="1"/>
        <v>1</v>
      </c>
      <c r="F10" s="17">
        <f t="shared" si="1"/>
        <v>10</v>
      </c>
      <c r="G10" s="142" t="s">
        <v>19</v>
      </c>
      <c r="H10" s="142" t="s">
        <v>19</v>
      </c>
      <c r="I10" s="142" t="s">
        <v>19</v>
      </c>
      <c r="J10" s="19">
        <v>0</v>
      </c>
      <c r="K10" s="19">
        <f>SUM(B10:J10)</f>
        <v>23</v>
      </c>
      <c r="M10">
        <v>14</v>
      </c>
    </row>
    <row r="11" spans="1:17" ht="25.5">
      <c r="A11" s="14" t="s">
        <v>105</v>
      </c>
      <c r="B11" s="22">
        <f>B9-B10</f>
        <v>360</v>
      </c>
      <c r="C11" s="22">
        <f t="shared" ref="C11:K11" si="2">C9-C10</f>
        <v>20</v>
      </c>
      <c r="D11" s="22">
        <f t="shared" si="2"/>
        <v>105</v>
      </c>
      <c r="E11" s="22">
        <f t="shared" si="2"/>
        <v>9</v>
      </c>
      <c r="F11" s="22">
        <f t="shared" si="2"/>
        <v>100</v>
      </c>
      <c r="G11" s="142" t="s">
        <v>19</v>
      </c>
      <c r="H11" s="142" t="s">
        <v>19</v>
      </c>
      <c r="I11" s="142" t="s">
        <v>19</v>
      </c>
      <c r="J11" s="22">
        <f t="shared" si="2"/>
        <v>10</v>
      </c>
      <c r="K11" s="22">
        <f t="shared" si="2"/>
        <v>604</v>
      </c>
    </row>
  </sheetData>
  <mergeCells count="10">
    <mergeCell ref="B4:E4"/>
    <mergeCell ref="F4:G4"/>
    <mergeCell ref="B5:E5"/>
    <mergeCell ref="F5:G5"/>
    <mergeCell ref="B1:E1"/>
    <mergeCell ref="F1:J1"/>
    <mergeCell ref="B2:E2"/>
    <mergeCell ref="F2:J2"/>
    <mergeCell ref="B3:E3"/>
    <mergeCell ref="F3:G3"/>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dimension ref="A1:L59"/>
  <sheetViews>
    <sheetView workbookViewId="0">
      <selection activeCell="L18" sqref="L18"/>
    </sheetView>
  </sheetViews>
  <sheetFormatPr baseColWidth="10" defaultRowHeight="15"/>
  <sheetData>
    <row r="1" spans="1:12">
      <c r="A1" s="1"/>
      <c r="B1" s="243" t="s">
        <v>0</v>
      </c>
      <c r="C1" s="244"/>
      <c r="D1" s="244"/>
      <c r="E1" s="244"/>
      <c r="F1" s="2" t="s">
        <v>1</v>
      </c>
      <c r="G1" s="2" t="s">
        <v>2</v>
      </c>
      <c r="H1" s="3" t="s">
        <v>3</v>
      </c>
      <c r="I1" s="4"/>
      <c r="J1" s="2" t="s">
        <v>4</v>
      </c>
      <c r="K1" s="2" t="s">
        <v>2</v>
      </c>
    </row>
    <row r="2" spans="1:12">
      <c r="A2" s="1" t="s">
        <v>5</v>
      </c>
      <c r="B2" s="5"/>
      <c r="C2" s="6"/>
      <c r="D2" s="6"/>
      <c r="E2" s="7"/>
      <c r="F2" s="2" t="s">
        <v>6</v>
      </c>
      <c r="G2" s="8"/>
      <c r="H2" s="4"/>
      <c r="I2" s="4"/>
      <c r="J2" s="8"/>
      <c r="K2" s="8"/>
    </row>
    <row r="3" spans="1:12">
      <c r="A3" s="9"/>
      <c r="B3" s="42" t="s">
        <v>7</v>
      </c>
      <c r="C3" s="42" t="s">
        <v>8</v>
      </c>
      <c r="D3" s="42" t="s">
        <v>9</v>
      </c>
      <c r="E3" s="2" t="s">
        <v>10</v>
      </c>
      <c r="F3" s="8"/>
      <c r="G3" s="12"/>
      <c r="H3" s="13"/>
      <c r="I3" s="13"/>
      <c r="J3" s="12"/>
      <c r="K3" s="12"/>
    </row>
    <row r="4" spans="1:12">
      <c r="A4" s="48" t="s">
        <v>11</v>
      </c>
      <c r="B4" s="146">
        <f>'SUT1 (S)'!B6</f>
        <v>5000</v>
      </c>
      <c r="C4" s="146">
        <f>'SUT1 (S)'!C6</f>
        <v>0</v>
      </c>
      <c r="D4" s="146">
        <f>'SUT1 (S)'!D6</f>
        <v>0</v>
      </c>
      <c r="E4" s="146">
        <f>'SUT1 (S)'!E6</f>
        <v>0</v>
      </c>
      <c r="F4" s="146">
        <f>'SUT1 (S)'!F6</f>
        <v>2500</v>
      </c>
      <c r="G4" s="19">
        <f t="shared" ref="G4:G9" si="0">B4+C4+D4+E4+F4</f>
        <v>7500</v>
      </c>
      <c r="H4" s="209">
        <f>'trade margins(S)'!K17</f>
        <v>1600</v>
      </c>
      <c r="I4" s="17">
        <f>VATS!K20</f>
        <v>824</v>
      </c>
      <c r="J4" s="15"/>
      <c r="K4" s="19">
        <f>G4+H4+I4+J4</f>
        <v>9924</v>
      </c>
    </row>
    <row r="5" spans="1:12">
      <c r="A5" s="48" t="s">
        <v>13</v>
      </c>
      <c r="B5" s="146">
        <f>'SUT1 (S)'!B7</f>
        <v>710</v>
      </c>
      <c r="C5" s="146">
        <f>'SUT1 (S)'!C7</f>
        <v>0</v>
      </c>
      <c r="D5" s="146">
        <f>'SUT1 (S)'!D7</f>
        <v>0</v>
      </c>
      <c r="E5" s="146">
        <f>'SUT1 (S)'!E7</f>
        <v>0</v>
      </c>
      <c r="F5" s="146">
        <f>'SUT1 (S)'!F7</f>
        <v>0</v>
      </c>
      <c r="G5" s="19">
        <f t="shared" si="0"/>
        <v>710</v>
      </c>
      <c r="H5" s="209">
        <f>'trade margins(S)'!K19</f>
        <v>333</v>
      </c>
      <c r="I5" s="17">
        <f>VATS!K22</f>
        <v>178</v>
      </c>
      <c r="J5" s="15"/>
      <c r="K5" s="19">
        <f t="shared" ref="K5:K8" si="1">G5+H5+I5+J5</f>
        <v>1221</v>
      </c>
    </row>
    <row r="6" spans="1:12">
      <c r="A6" s="48" t="s">
        <v>14</v>
      </c>
      <c r="B6" s="146">
        <f>'SUT1 (S)'!B8</f>
        <v>508</v>
      </c>
      <c r="C6" s="146">
        <f>'SUT1 (S)'!C8</f>
        <v>0</v>
      </c>
      <c r="D6" s="146">
        <f>'SUT1 (S)'!D8</f>
        <v>0</v>
      </c>
      <c r="E6" s="146">
        <f>'SUT1 (S)'!E8</f>
        <v>0</v>
      </c>
      <c r="F6" s="146">
        <f>'SUT1 (S)'!F8</f>
        <v>0</v>
      </c>
      <c r="G6" s="19">
        <f t="shared" si="0"/>
        <v>508</v>
      </c>
      <c r="H6" s="48"/>
      <c r="I6" s="17">
        <f>VATS!K24</f>
        <v>47</v>
      </c>
      <c r="J6" s="19">
        <v>14</v>
      </c>
      <c r="K6" s="19">
        <f t="shared" si="1"/>
        <v>569</v>
      </c>
    </row>
    <row r="7" spans="1:12">
      <c r="A7" s="48" t="s">
        <v>15</v>
      </c>
      <c r="B7" s="148">
        <f>'SUT1 (S)'!B9</f>
        <v>0</v>
      </c>
      <c r="C7" s="214">
        <f>'SUT1 (S)'!C9</f>
        <v>0</v>
      </c>
      <c r="D7" s="214">
        <f>'SUT1 (S)'!D9</f>
        <v>4020</v>
      </c>
      <c r="E7" s="214">
        <f>'SUT1 (S)'!E9</f>
        <v>0</v>
      </c>
      <c r="F7" s="214">
        <f>'SUT1 (S)'!F9</f>
        <v>20</v>
      </c>
      <c r="G7" s="19">
        <f t="shared" si="0"/>
        <v>4040</v>
      </c>
      <c r="H7" s="17">
        <v>0</v>
      </c>
      <c r="I7" s="5"/>
      <c r="J7" s="15"/>
      <c r="K7" s="19">
        <f t="shared" si="1"/>
        <v>4040</v>
      </c>
    </row>
    <row r="8" spans="1:12" ht="30" customHeight="1">
      <c r="A8" s="48" t="s">
        <v>17</v>
      </c>
      <c r="B8" s="148">
        <f>'SUT1 (S)'!B10</f>
        <v>0</v>
      </c>
      <c r="C8" s="214">
        <f>'SUT1 (S)'!C10</f>
        <v>0</v>
      </c>
      <c r="D8" s="214">
        <f>'SUT1 (S)'!D10</f>
        <v>0</v>
      </c>
      <c r="E8" s="214">
        <f>'SUT1 (S)'!E10</f>
        <v>1570</v>
      </c>
      <c r="F8" s="214">
        <f>'SUT1 (S)'!F10</f>
        <v>0</v>
      </c>
      <c r="G8" s="19">
        <f t="shared" si="0"/>
        <v>1570</v>
      </c>
      <c r="H8" s="17">
        <v>0</v>
      </c>
      <c r="I8" s="5"/>
      <c r="J8" s="15"/>
      <c r="K8" s="19">
        <f t="shared" si="1"/>
        <v>1570</v>
      </c>
    </row>
    <row r="9" spans="1:12" ht="38.25">
      <c r="A9" s="50" t="s">
        <v>18</v>
      </c>
      <c r="B9" s="154">
        <f>'SUT1 (S)'!B11</f>
        <v>0</v>
      </c>
      <c r="C9" s="215">
        <f>'SUT1 (S)'!C11</f>
        <v>1550</v>
      </c>
      <c r="D9" s="215">
        <f>'SUT1 (S)'!D11</f>
        <v>0</v>
      </c>
      <c r="E9" s="215">
        <f>'SUT1 (S)'!E11</f>
        <v>0</v>
      </c>
      <c r="F9" s="215">
        <f>'SUT1 (S)'!F11</f>
        <v>0</v>
      </c>
      <c r="G9" s="19">
        <f t="shared" si="0"/>
        <v>1550</v>
      </c>
      <c r="H9" s="24">
        <f>-G9</f>
        <v>-1550</v>
      </c>
      <c r="I9" s="51"/>
      <c r="J9" s="52"/>
      <c r="K9" s="23" t="s">
        <v>19</v>
      </c>
    </row>
    <row r="10" spans="1:12" ht="15.75" thickBot="1">
      <c r="A10" s="48" t="s">
        <v>20</v>
      </c>
      <c r="B10" s="151">
        <f>SUM(B4:B9)</f>
        <v>6218</v>
      </c>
      <c r="C10" s="151">
        <f t="shared" ref="C10:F10" si="2">SUM(C4:C9)</f>
        <v>1550</v>
      </c>
      <c r="D10" s="151">
        <f t="shared" si="2"/>
        <v>4020</v>
      </c>
      <c r="E10" s="151">
        <f t="shared" si="2"/>
        <v>1570</v>
      </c>
      <c r="F10" s="156">
        <f t="shared" si="2"/>
        <v>2520</v>
      </c>
      <c r="G10" s="19">
        <v>15878</v>
      </c>
      <c r="H10" s="17">
        <v>0</v>
      </c>
      <c r="I10" s="209" t="e">
        <f>#REF!</f>
        <v>#REF!</v>
      </c>
      <c r="J10" s="17" t="e">
        <f>#REF!</f>
        <v>#REF!</v>
      </c>
      <c r="K10" s="19" t="e">
        <f>G10+H10+I10+J10</f>
        <v>#REF!</v>
      </c>
      <c r="L10" t="s">
        <v>129</v>
      </c>
    </row>
    <row r="11" spans="1:12" ht="25.5">
      <c r="A11" s="5" t="s">
        <v>21</v>
      </c>
      <c r="B11" s="5"/>
      <c r="C11" s="5"/>
      <c r="D11" s="5"/>
      <c r="E11" s="5"/>
      <c r="F11" s="5"/>
      <c r="G11" s="5"/>
      <c r="H11" s="199">
        <f>H4+H5+H9</f>
        <v>383</v>
      </c>
      <c r="I11" s="199">
        <f>SUM(I4:I6)</f>
        <v>1049</v>
      </c>
      <c r="J11" s="26"/>
      <c r="K11" s="25">
        <f>SUM(K4:K8)</f>
        <v>17324</v>
      </c>
      <c r="L11" t="e">
        <f>K11-K10</f>
        <v>#REF!</v>
      </c>
    </row>
    <row r="12" spans="1:12">
      <c r="A12" s="263"/>
      <c r="B12" s="262"/>
      <c r="C12" s="262"/>
      <c r="D12" s="262"/>
      <c r="E12" s="262"/>
      <c r="F12" s="262"/>
      <c r="G12" s="262"/>
      <c r="H12" s="262"/>
      <c r="I12" s="262"/>
      <c r="J12" s="262"/>
      <c r="K12" s="262"/>
    </row>
    <row r="13" spans="1:12">
      <c r="A13" s="263"/>
      <c r="B13" s="262"/>
      <c r="C13" s="262"/>
      <c r="D13" s="262"/>
      <c r="E13" s="262"/>
      <c r="F13" s="262"/>
      <c r="G13" s="262"/>
      <c r="H13" s="262"/>
      <c r="I13" s="262"/>
      <c r="J13" s="262"/>
      <c r="K13" s="262"/>
    </row>
    <row r="14" spans="1:12">
      <c r="A14" s="14"/>
      <c r="B14" s="264"/>
      <c r="C14" s="263"/>
      <c r="D14" s="263"/>
      <c r="E14" s="265"/>
      <c r="F14" s="266"/>
      <c r="G14" s="262"/>
      <c r="H14" s="262"/>
      <c r="I14" s="262"/>
      <c r="J14" s="267"/>
      <c r="K14" s="15"/>
    </row>
    <row r="15" spans="1:12">
      <c r="A15" s="27" t="s">
        <v>22</v>
      </c>
      <c r="B15" s="243" t="s">
        <v>23</v>
      </c>
      <c r="C15" s="244"/>
      <c r="D15" s="244"/>
      <c r="E15" s="245"/>
      <c r="F15" s="243" t="s">
        <v>24</v>
      </c>
      <c r="G15" s="244"/>
      <c r="H15" s="244"/>
      <c r="I15" s="244"/>
      <c r="J15" s="245"/>
      <c r="K15" s="2" t="s">
        <v>25</v>
      </c>
    </row>
    <row r="16" spans="1:12">
      <c r="A16" s="14"/>
      <c r="B16" s="246"/>
      <c r="C16" s="247"/>
      <c r="D16" s="247"/>
      <c r="E16" s="255"/>
      <c r="F16" s="246"/>
      <c r="G16" s="247"/>
      <c r="H16" s="5"/>
      <c r="I16" s="5"/>
      <c r="J16" s="15"/>
      <c r="K16" s="2" t="s">
        <v>26</v>
      </c>
    </row>
    <row r="17" spans="1:11">
      <c r="A17" s="1"/>
      <c r="B17" s="243" t="s">
        <v>0</v>
      </c>
      <c r="C17" s="244"/>
      <c r="D17" s="244"/>
      <c r="E17" s="245"/>
      <c r="F17" s="243" t="s">
        <v>27</v>
      </c>
      <c r="G17" s="244"/>
      <c r="H17" s="3" t="s">
        <v>28</v>
      </c>
      <c r="I17" s="3" t="s">
        <v>29</v>
      </c>
      <c r="J17" s="2" t="s">
        <v>30</v>
      </c>
      <c r="K17" s="2" t="s">
        <v>31</v>
      </c>
    </row>
    <row r="18" spans="1:11">
      <c r="A18" s="1" t="s">
        <v>5</v>
      </c>
      <c r="B18" s="5"/>
      <c r="C18" s="6"/>
      <c r="D18" s="6"/>
      <c r="E18" s="7"/>
      <c r="F18" s="5"/>
      <c r="G18" s="15"/>
      <c r="H18" s="3" t="s">
        <v>32</v>
      </c>
      <c r="I18" s="3" t="s">
        <v>31</v>
      </c>
      <c r="J18" s="2" t="s">
        <v>12</v>
      </c>
      <c r="K18" s="8"/>
    </row>
    <row r="19" spans="1:11">
      <c r="A19" s="9"/>
      <c r="B19" s="10" t="s">
        <v>7</v>
      </c>
      <c r="C19" s="10" t="s">
        <v>8</v>
      </c>
      <c r="D19" s="10" t="s">
        <v>9</v>
      </c>
      <c r="E19" s="11" t="s">
        <v>10</v>
      </c>
      <c r="F19" s="10" t="s">
        <v>33</v>
      </c>
      <c r="G19" s="11" t="s">
        <v>34</v>
      </c>
      <c r="H19" s="13"/>
      <c r="I19" s="13"/>
      <c r="J19" s="12"/>
      <c r="K19" s="12"/>
    </row>
    <row r="20" spans="1:11">
      <c r="A20" s="14"/>
      <c r="B20" s="5"/>
      <c r="C20" s="5"/>
      <c r="D20" s="5"/>
      <c r="E20" s="15"/>
      <c r="F20" s="5"/>
      <c r="G20" s="5"/>
      <c r="H20" s="5"/>
      <c r="I20" s="5"/>
      <c r="J20" s="15"/>
      <c r="K20" s="15"/>
    </row>
    <row r="21" spans="1:11" ht="38.25">
      <c r="A21" s="14" t="s">
        <v>35</v>
      </c>
      <c r="B21" s="17">
        <f>'SUT1 (S)'!B20</f>
        <v>2200</v>
      </c>
      <c r="C21" s="17">
        <f>'SUT1 (S)'!C20</f>
        <v>110</v>
      </c>
      <c r="D21" s="17">
        <f>'SUT1 (S)'!D20</f>
        <v>1080</v>
      </c>
      <c r="E21" s="17">
        <f>'SUT1 (S)'!E20</f>
        <v>264</v>
      </c>
      <c r="F21" s="17">
        <f>'SUT1 (S)'!F20</f>
        <v>2160</v>
      </c>
      <c r="G21" s="17" t="str">
        <f>'SUT1 (S)'!G20</f>
        <v xml:space="preserve">      ‑</v>
      </c>
      <c r="H21" s="17">
        <f>'SUT1 (S)'!H20</f>
        <v>1440</v>
      </c>
      <c r="I21" s="209" t="s">
        <v>36</v>
      </c>
      <c r="J21" s="17">
        <f>'SUT1 (S)'!J20</f>
        <v>2520</v>
      </c>
      <c r="K21" s="19">
        <f>SUM(B21:H21)+J21</f>
        <v>9774</v>
      </c>
    </row>
    <row r="22" spans="1:11">
      <c r="A22" s="14"/>
      <c r="B22" s="269"/>
      <c r="C22" s="270"/>
      <c r="D22" s="29"/>
      <c r="E22" s="30"/>
      <c r="F22" s="29"/>
      <c r="G22" s="29"/>
      <c r="H22" s="29"/>
      <c r="I22" s="29"/>
      <c r="J22" s="268"/>
      <c r="K22" s="30"/>
    </row>
    <row r="23" spans="1:11">
      <c r="A23" s="31" t="s">
        <v>37</v>
      </c>
      <c r="B23" s="269"/>
      <c r="C23" s="270"/>
      <c r="D23" s="32">
        <v>180</v>
      </c>
      <c r="E23" s="33">
        <v>44</v>
      </c>
      <c r="F23" s="32">
        <v>360</v>
      </c>
      <c r="G23" s="17" t="s">
        <v>16</v>
      </c>
      <c r="H23" s="32">
        <v>240</v>
      </c>
      <c r="I23" s="32" t="s">
        <v>36</v>
      </c>
      <c r="J23" s="268"/>
      <c r="K23" s="33">
        <v>824</v>
      </c>
    </row>
    <row r="24" spans="1:11">
      <c r="A24" s="31"/>
      <c r="B24" s="29"/>
      <c r="C24" s="29"/>
      <c r="D24" s="29"/>
      <c r="E24" s="30"/>
      <c r="F24" s="29"/>
      <c r="G24" s="29"/>
      <c r="H24" s="29"/>
      <c r="I24" s="29"/>
      <c r="J24" s="30"/>
      <c r="K24" s="30"/>
    </row>
    <row r="25" spans="1:11" ht="25.5">
      <c r="A25" s="31" t="s">
        <v>38</v>
      </c>
      <c r="B25" s="196">
        <f>'trade margins(S)'!B17</f>
        <v>200</v>
      </c>
      <c r="C25" s="196">
        <f>'trade margins(S)'!C17</f>
        <v>10</v>
      </c>
      <c r="D25" s="196">
        <f>'trade margins(S)'!D17</f>
        <v>150</v>
      </c>
      <c r="E25" s="196">
        <f>'trade margins(S)'!E17</f>
        <v>20</v>
      </c>
      <c r="F25" s="196">
        <f>'trade margins(S)'!F17</f>
        <v>600</v>
      </c>
      <c r="G25" s="196" t="str">
        <f>'trade margins(S)'!G17</f>
        <v>‑</v>
      </c>
      <c r="H25" s="196">
        <f>'trade margins(S)'!H17</f>
        <v>200</v>
      </c>
      <c r="I25" s="196">
        <f>'trade margins(S)'!I17</f>
        <v>0</v>
      </c>
      <c r="J25" s="196">
        <f>'trade margins(S)'!J17</f>
        <v>420</v>
      </c>
      <c r="K25" s="33">
        <f>SUM(B25:J25)</f>
        <v>1600</v>
      </c>
    </row>
    <row r="26" spans="1:11">
      <c r="A26" s="31"/>
      <c r="B26" s="29"/>
      <c r="C26" s="29"/>
      <c r="D26" s="29"/>
      <c r="E26" s="30"/>
      <c r="F26" s="29"/>
      <c r="G26" s="29"/>
      <c r="H26" s="29"/>
      <c r="I26" s="29"/>
      <c r="J26" s="30"/>
      <c r="K26" s="30"/>
    </row>
    <row r="27" spans="1:11" ht="25.5">
      <c r="A27" s="34" t="s">
        <v>39</v>
      </c>
      <c r="B27" s="35">
        <v>2000</v>
      </c>
      <c r="C27" s="35">
        <v>100</v>
      </c>
      <c r="D27" s="35">
        <v>750</v>
      </c>
      <c r="E27" s="36">
        <v>200</v>
      </c>
      <c r="F27" s="35">
        <v>1200</v>
      </c>
      <c r="G27" s="17" t="s">
        <v>16</v>
      </c>
      <c r="H27" s="35">
        <v>1000</v>
      </c>
      <c r="I27" s="35" t="s">
        <v>36</v>
      </c>
      <c r="J27" s="36">
        <v>2100</v>
      </c>
      <c r="K27" s="36">
        <v>7350</v>
      </c>
    </row>
    <row r="28" spans="1:11">
      <c r="A28" s="31"/>
      <c r="B28" s="5"/>
      <c r="C28" s="5"/>
      <c r="D28" s="5"/>
      <c r="E28" s="15"/>
      <c r="F28" s="5"/>
      <c r="G28" s="5"/>
      <c r="H28" s="5"/>
      <c r="I28" s="35"/>
      <c r="J28" s="255"/>
      <c r="K28" s="15"/>
    </row>
    <row r="29" spans="1:11" ht="38.25">
      <c r="A29" s="14" t="s">
        <v>40</v>
      </c>
      <c r="B29" s="17">
        <f>'SUT1 (S)'!B21</f>
        <v>60</v>
      </c>
      <c r="C29" s="17">
        <f>'SUT1 (S)'!C21</f>
        <v>13</v>
      </c>
      <c r="D29" s="17">
        <f>'SUT1 (S)'!D21</f>
        <v>180</v>
      </c>
      <c r="E29" s="17">
        <f>'SUT1 (S)'!E21</f>
        <v>72</v>
      </c>
      <c r="F29" s="17">
        <f>'SUT1 (S)'!F21</f>
        <v>816</v>
      </c>
      <c r="G29" s="17" t="s">
        <v>16</v>
      </c>
      <c r="H29" s="17">
        <v>0</v>
      </c>
      <c r="I29" s="35" t="s">
        <v>36</v>
      </c>
      <c r="J29" s="267"/>
      <c r="K29" s="19">
        <f>SUM(B29:H29)+J29</f>
        <v>1141</v>
      </c>
    </row>
    <row r="30" spans="1:11">
      <c r="A30" s="14"/>
      <c r="B30" s="269"/>
      <c r="C30" s="270"/>
      <c r="D30" s="29"/>
      <c r="E30" s="30"/>
      <c r="F30" s="29"/>
      <c r="G30" s="29"/>
      <c r="H30" s="29"/>
      <c r="I30" s="29"/>
      <c r="J30" s="30"/>
      <c r="K30" s="30"/>
    </row>
    <row r="31" spans="1:11">
      <c r="A31" s="31" t="s">
        <v>37</v>
      </c>
      <c r="B31" s="269"/>
      <c r="C31" s="270"/>
      <c r="D31" s="32">
        <v>30</v>
      </c>
      <c r="E31" s="33">
        <v>12</v>
      </c>
      <c r="F31" s="32">
        <v>136</v>
      </c>
      <c r="G31" s="17" t="s">
        <v>16</v>
      </c>
      <c r="H31" s="32">
        <v>0</v>
      </c>
      <c r="I31" s="32" t="s">
        <v>36</v>
      </c>
      <c r="J31" s="33">
        <v>0</v>
      </c>
      <c r="K31" s="33">
        <v>178</v>
      </c>
    </row>
    <row r="32" spans="1:11">
      <c r="A32" s="31"/>
      <c r="B32" s="29"/>
      <c r="C32" s="29"/>
      <c r="D32" s="29"/>
      <c r="E32" s="30"/>
      <c r="F32" s="29"/>
      <c r="G32" s="29"/>
      <c r="H32" s="29"/>
      <c r="I32" s="29"/>
      <c r="J32" s="30"/>
      <c r="K32" s="30"/>
    </row>
    <row r="33" spans="1:11" ht="25.5">
      <c r="A33" s="31" t="s">
        <v>38</v>
      </c>
      <c r="B33" s="196">
        <f>'trade margins(S)'!B19</f>
        <v>10</v>
      </c>
      <c r="C33" s="196">
        <f>'trade margins(S)'!C19</f>
        <v>3</v>
      </c>
      <c r="D33" s="196">
        <f>'trade margins(S)'!D19</f>
        <v>30</v>
      </c>
      <c r="E33" s="196">
        <f>'trade margins(S)'!E19</f>
        <v>10</v>
      </c>
      <c r="F33" s="196">
        <f>'trade margins(S)'!F19</f>
        <v>280</v>
      </c>
      <c r="G33" s="196" t="str">
        <f>'trade margins(S)'!G19</f>
        <v>‑</v>
      </c>
      <c r="H33" s="196">
        <f>'trade margins(S)'!H19</f>
        <v>0</v>
      </c>
      <c r="I33" s="196">
        <f>'trade margins(S)'!I19</f>
        <v>0</v>
      </c>
      <c r="J33" s="196">
        <f>'trade margins(S)'!J19</f>
        <v>0</v>
      </c>
      <c r="K33" s="33">
        <v>333</v>
      </c>
    </row>
    <row r="34" spans="1:11">
      <c r="A34" s="31"/>
      <c r="B34" s="29"/>
      <c r="C34" s="29"/>
      <c r="D34" s="29"/>
      <c r="E34" s="30"/>
      <c r="F34" s="29"/>
      <c r="G34" s="29"/>
      <c r="H34" s="29"/>
      <c r="I34" s="29"/>
      <c r="J34" s="30"/>
      <c r="K34" s="30"/>
    </row>
    <row r="35" spans="1:11" ht="25.5">
      <c r="A35" s="34" t="s">
        <v>39</v>
      </c>
      <c r="B35" s="35">
        <v>50</v>
      </c>
      <c r="C35" s="35">
        <v>10</v>
      </c>
      <c r="D35" s="35">
        <v>120</v>
      </c>
      <c r="E35" s="36">
        <v>50</v>
      </c>
      <c r="F35" s="35">
        <v>400</v>
      </c>
      <c r="G35" s="17" t="s">
        <v>16</v>
      </c>
      <c r="H35" s="35">
        <v>0</v>
      </c>
      <c r="I35" s="35" t="s">
        <v>36</v>
      </c>
      <c r="J35" s="36">
        <v>0</v>
      </c>
      <c r="K35" s="36">
        <v>630</v>
      </c>
    </row>
    <row r="36" spans="1:11">
      <c r="A36" s="31"/>
      <c r="B36" s="5"/>
      <c r="C36" s="5"/>
      <c r="D36" s="5"/>
      <c r="E36" s="15"/>
      <c r="F36" s="5"/>
      <c r="G36" s="5"/>
      <c r="H36" s="5"/>
      <c r="I36" s="5"/>
      <c r="J36" s="15"/>
      <c r="K36" s="15"/>
    </row>
    <row r="37" spans="1:11" ht="51">
      <c r="A37" s="14" t="s">
        <v>41</v>
      </c>
      <c r="B37" s="17">
        <v>360</v>
      </c>
      <c r="C37" s="17">
        <v>22</v>
      </c>
      <c r="D37" s="209">
        <v>138</v>
      </c>
      <c r="E37" s="19">
        <v>12</v>
      </c>
      <c r="F37" s="17">
        <v>132</v>
      </c>
      <c r="G37" s="17" t="s">
        <v>16</v>
      </c>
      <c r="H37" s="17" t="s">
        <v>16</v>
      </c>
      <c r="I37" s="17" t="s">
        <v>16</v>
      </c>
      <c r="J37" s="19">
        <v>10</v>
      </c>
      <c r="K37" s="19">
        <v>674</v>
      </c>
    </row>
    <row r="38" spans="1:11">
      <c r="A38" s="14"/>
      <c r="B38" s="269"/>
      <c r="C38" s="270"/>
      <c r="D38" s="29"/>
      <c r="E38" s="30"/>
      <c r="F38" s="29"/>
      <c r="G38" s="29"/>
      <c r="H38" s="29"/>
      <c r="I38" s="29"/>
      <c r="J38" s="30"/>
      <c r="K38" s="30"/>
    </row>
    <row r="39" spans="1:11">
      <c r="A39" s="31" t="s">
        <v>37</v>
      </c>
      <c r="B39" s="269"/>
      <c r="C39" s="270"/>
      <c r="D39" s="32">
        <v>23</v>
      </c>
      <c r="E39" s="33">
        <v>2</v>
      </c>
      <c r="F39" s="32">
        <v>22</v>
      </c>
      <c r="G39" s="17" t="s">
        <v>16</v>
      </c>
      <c r="H39" s="17" t="s">
        <v>16</v>
      </c>
      <c r="I39" s="17" t="s">
        <v>16</v>
      </c>
      <c r="J39" s="33">
        <v>0</v>
      </c>
      <c r="K39" s="33">
        <v>47</v>
      </c>
    </row>
    <row r="40" spans="1:11">
      <c r="A40" s="31"/>
      <c r="B40" s="29"/>
      <c r="C40" s="29"/>
      <c r="D40" s="29"/>
      <c r="E40" s="30"/>
      <c r="F40" s="29"/>
      <c r="G40" s="29"/>
      <c r="H40" s="29"/>
      <c r="I40" s="29"/>
      <c r="J40" s="268"/>
      <c r="K40" s="30"/>
    </row>
    <row r="41" spans="1:11" ht="25.5">
      <c r="A41" s="31" t="s">
        <v>42</v>
      </c>
      <c r="B41" s="32">
        <v>0</v>
      </c>
      <c r="C41" s="32">
        <v>2</v>
      </c>
      <c r="D41" s="32">
        <v>10</v>
      </c>
      <c r="E41" s="33">
        <v>1</v>
      </c>
      <c r="F41" s="32">
        <v>10</v>
      </c>
      <c r="G41" s="17" t="s">
        <v>16</v>
      </c>
      <c r="H41" s="17" t="s">
        <v>16</v>
      </c>
      <c r="I41" s="17" t="s">
        <v>16</v>
      </c>
      <c r="J41" s="268"/>
      <c r="K41" s="33">
        <v>23</v>
      </c>
    </row>
    <row r="42" spans="1:11">
      <c r="A42" s="31"/>
      <c r="B42" s="29"/>
      <c r="C42" s="29"/>
      <c r="D42" s="29"/>
      <c r="E42" s="30"/>
      <c r="F42" s="29"/>
      <c r="G42" s="29"/>
      <c r="H42" s="29"/>
      <c r="I42" s="29"/>
      <c r="J42" s="30"/>
      <c r="K42" s="30"/>
    </row>
    <row r="43" spans="1:11" ht="25.5">
      <c r="A43" s="34" t="s">
        <v>39</v>
      </c>
      <c r="B43" s="35">
        <v>360</v>
      </c>
      <c r="C43" s="35">
        <v>20</v>
      </c>
      <c r="D43" s="35">
        <v>105</v>
      </c>
      <c r="E43" s="36">
        <v>9</v>
      </c>
      <c r="F43" s="35">
        <v>100</v>
      </c>
      <c r="G43" s="17" t="s">
        <v>16</v>
      </c>
      <c r="H43" s="17" t="s">
        <v>16</v>
      </c>
      <c r="I43" s="17" t="s">
        <v>16</v>
      </c>
      <c r="J43" s="36">
        <v>10</v>
      </c>
      <c r="K43" s="36">
        <v>604</v>
      </c>
    </row>
    <row r="44" spans="1:11">
      <c r="A44" s="31"/>
      <c r="B44" s="5"/>
      <c r="C44" s="5"/>
      <c r="D44" s="5"/>
      <c r="E44" s="15"/>
      <c r="F44" s="5"/>
      <c r="G44" s="5"/>
      <c r="H44" s="5"/>
      <c r="I44" s="5"/>
      <c r="J44" s="15"/>
      <c r="K44" s="15"/>
    </row>
    <row r="45" spans="1:11">
      <c r="A45" s="14" t="s">
        <v>15</v>
      </c>
      <c r="B45" s="17">
        <f>'SUT1 (S)'!B23</f>
        <v>600</v>
      </c>
      <c r="C45" s="17">
        <f>'SUT1 (S)'!C23</f>
        <v>200</v>
      </c>
      <c r="D45" s="209">
        <f>'SUT1 (S)'!D23</f>
        <v>674</v>
      </c>
      <c r="E45" s="17">
        <f>'SUT1 (S)'!E23</f>
        <v>240</v>
      </c>
      <c r="F45" s="17">
        <f>'SUT1 (S)'!F23</f>
        <v>1600</v>
      </c>
      <c r="G45" s="17" t="s">
        <v>16</v>
      </c>
      <c r="H45" s="17" t="s">
        <v>16</v>
      </c>
      <c r="I45" s="17" t="s">
        <v>16</v>
      </c>
      <c r="J45" s="17">
        <f>'SUT1 (S)'!J23</f>
        <v>600</v>
      </c>
      <c r="K45" s="19">
        <f>SUM(B45:J45)</f>
        <v>3914</v>
      </c>
    </row>
    <row r="46" spans="1:11">
      <c r="A46" s="14"/>
      <c r="B46" s="5"/>
      <c r="C46" s="5"/>
      <c r="D46" s="5"/>
      <c r="E46" s="15"/>
      <c r="F46" s="5"/>
      <c r="G46" s="5"/>
      <c r="H46" s="5"/>
      <c r="I46" s="5"/>
      <c r="J46" s="267"/>
      <c r="K46" s="15"/>
    </row>
    <row r="47" spans="1:11" ht="38.25">
      <c r="A47" s="14" t="s">
        <v>17</v>
      </c>
      <c r="B47" s="17">
        <v>20</v>
      </c>
      <c r="C47" s="17">
        <v>10</v>
      </c>
      <c r="D47" s="17">
        <v>60</v>
      </c>
      <c r="E47" s="17" t="s">
        <v>16</v>
      </c>
      <c r="F47" s="17">
        <v>80</v>
      </c>
      <c r="G47" s="17">
        <v>1400</v>
      </c>
      <c r="H47" s="17" t="s">
        <v>16</v>
      </c>
      <c r="I47" s="17" t="s">
        <v>16</v>
      </c>
      <c r="J47" s="267"/>
      <c r="K47" s="19">
        <v>1570</v>
      </c>
    </row>
    <row r="48" spans="1:11">
      <c r="A48" s="14"/>
      <c r="B48" s="5"/>
      <c r="C48" s="5"/>
      <c r="D48" s="5"/>
      <c r="E48" s="15"/>
      <c r="F48" s="5"/>
      <c r="G48" s="5"/>
      <c r="H48" s="5"/>
      <c r="I48" s="5"/>
      <c r="J48" s="15"/>
      <c r="K48" s="15"/>
    </row>
    <row r="49" spans="1:11" ht="51">
      <c r="A49" s="14" t="s">
        <v>43</v>
      </c>
      <c r="B49" s="17" t="s">
        <v>16</v>
      </c>
      <c r="C49" s="17" t="s">
        <v>16</v>
      </c>
      <c r="D49" s="17" t="s">
        <v>16</v>
      </c>
      <c r="E49" s="17" t="s">
        <v>16</v>
      </c>
      <c r="F49" s="17" t="s">
        <v>16</v>
      </c>
      <c r="G49" s="17" t="s">
        <v>16</v>
      </c>
      <c r="H49" s="17" t="s">
        <v>16</v>
      </c>
      <c r="I49" s="17" t="s">
        <v>16</v>
      </c>
      <c r="J49" s="17" t="s">
        <v>16</v>
      </c>
      <c r="K49" s="19" t="s">
        <v>19</v>
      </c>
    </row>
    <row r="50" spans="1:11">
      <c r="A50" s="14"/>
      <c r="B50" s="29"/>
      <c r="C50" s="29"/>
      <c r="D50" s="29"/>
      <c r="E50" s="30"/>
      <c r="F50" s="29"/>
      <c r="G50" s="29"/>
      <c r="H50" s="29"/>
      <c r="I50" s="29"/>
      <c r="J50" s="30"/>
      <c r="K50" s="30"/>
    </row>
    <row r="51" spans="1:11" ht="25.5">
      <c r="A51" s="34" t="s">
        <v>44</v>
      </c>
      <c r="B51" s="35">
        <v>210</v>
      </c>
      <c r="C51" s="35">
        <v>13</v>
      </c>
      <c r="D51" s="35">
        <v>180</v>
      </c>
      <c r="E51" s="36">
        <v>30</v>
      </c>
      <c r="F51" s="35">
        <v>880</v>
      </c>
      <c r="G51" s="17" t="s">
        <v>16</v>
      </c>
      <c r="H51" s="35">
        <v>200</v>
      </c>
      <c r="I51" s="35">
        <v>0</v>
      </c>
      <c r="J51" s="36">
        <v>420</v>
      </c>
      <c r="K51" s="36">
        <v>1933</v>
      </c>
    </row>
    <row r="52" spans="1:11">
      <c r="A52" s="31"/>
      <c r="B52" s="29"/>
      <c r="C52" s="29"/>
      <c r="D52" s="29"/>
      <c r="E52" s="30"/>
      <c r="F52" s="29"/>
      <c r="G52" s="29"/>
      <c r="H52" s="29"/>
      <c r="I52" s="29"/>
      <c r="J52" s="30"/>
      <c r="K52" s="30"/>
    </row>
    <row r="53" spans="1:11" ht="25.5">
      <c r="A53" s="34" t="s">
        <v>45</v>
      </c>
      <c r="B53" s="35">
        <v>3240</v>
      </c>
      <c r="C53" s="35">
        <v>353</v>
      </c>
      <c r="D53" s="35">
        <v>1889</v>
      </c>
      <c r="E53" s="36">
        <v>529</v>
      </c>
      <c r="F53" s="35">
        <v>4260</v>
      </c>
      <c r="G53" s="35">
        <v>1400</v>
      </c>
      <c r="H53" s="35">
        <v>1200</v>
      </c>
      <c r="I53" s="35" t="s">
        <v>46</v>
      </c>
      <c r="J53" s="36">
        <v>3130</v>
      </c>
      <c r="K53" s="36">
        <v>16001</v>
      </c>
    </row>
    <row r="54" spans="1:11">
      <c r="A54" s="31"/>
      <c r="B54" s="29"/>
      <c r="C54" s="29"/>
      <c r="D54" s="29"/>
      <c r="E54" s="30"/>
      <c r="F54" s="29"/>
      <c r="G54" s="29"/>
      <c r="H54" s="29"/>
      <c r="I54" s="29"/>
      <c r="J54" s="30"/>
      <c r="K54" s="30"/>
    </row>
    <row r="55" spans="1:11">
      <c r="A55" s="31" t="s">
        <v>37</v>
      </c>
      <c r="B55" s="32">
        <v>0</v>
      </c>
      <c r="C55" s="32">
        <v>0</v>
      </c>
      <c r="D55" s="32">
        <v>233</v>
      </c>
      <c r="E55" s="33">
        <v>58</v>
      </c>
      <c r="F55" s="32">
        <v>518</v>
      </c>
      <c r="G55" s="17" t="s">
        <v>16</v>
      </c>
      <c r="H55" s="32">
        <v>240</v>
      </c>
      <c r="I55" s="32">
        <v>0</v>
      </c>
      <c r="J55" s="33">
        <v>0</v>
      </c>
      <c r="K55" s="33">
        <v>1049</v>
      </c>
    </row>
    <row r="56" spans="1:11">
      <c r="A56" s="31"/>
      <c r="B56" s="29"/>
      <c r="C56" s="29"/>
      <c r="D56" s="29"/>
      <c r="E56" s="30"/>
      <c r="F56" s="29"/>
      <c r="G56" s="29"/>
      <c r="H56" s="29"/>
      <c r="I56" s="270"/>
      <c r="J56" s="30"/>
      <c r="K56" s="30"/>
    </row>
    <row r="57" spans="1:11" ht="25.5">
      <c r="A57" s="31" t="s">
        <v>38</v>
      </c>
      <c r="B57" s="35">
        <v>0</v>
      </c>
      <c r="C57" s="35">
        <v>2</v>
      </c>
      <c r="D57" s="35">
        <v>10</v>
      </c>
      <c r="E57" s="36">
        <v>1</v>
      </c>
      <c r="F57" s="35">
        <v>10</v>
      </c>
      <c r="G57" s="17" t="s">
        <v>16</v>
      </c>
      <c r="H57" s="17" t="s">
        <v>16</v>
      </c>
      <c r="I57" s="271"/>
      <c r="J57" s="36">
        <v>0</v>
      </c>
      <c r="K57" s="36">
        <v>23</v>
      </c>
    </row>
    <row r="58" spans="1:11">
      <c r="A58" s="31"/>
      <c r="B58" s="5"/>
      <c r="C58" s="5"/>
      <c r="D58" s="5"/>
      <c r="E58" s="15"/>
      <c r="F58" s="5"/>
      <c r="G58" s="5"/>
      <c r="H58" s="5"/>
      <c r="I58" s="5"/>
      <c r="J58" s="15"/>
      <c r="K58" s="15"/>
    </row>
    <row r="59" spans="1:11" ht="38.25">
      <c r="A59" s="21" t="s">
        <v>47</v>
      </c>
      <c r="B59" s="22">
        <v>3240</v>
      </c>
      <c r="C59" s="22">
        <v>355</v>
      </c>
      <c r="D59" s="22">
        <v>2132</v>
      </c>
      <c r="E59" s="23">
        <v>588</v>
      </c>
      <c r="F59" s="22">
        <v>4788</v>
      </c>
      <c r="G59" s="22">
        <v>1400</v>
      </c>
      <c r="H59" s="22">
        <v>1440</v>
      </c>
      <c r="I59" s="22" t="s">
        <v>46</v>
      </c>
      <c r="J59" s="23">
        <v>3130</v>
      </c>
      <c r="K59" s="23">
        <v>17073</v>
      </c>
    </row>
  </sheetData>
  <mergeCells count="31">
    <mergeCell ref="I56:I57"/>
    <mergeCell ref="B30:B31"/>
    <mergeCell ref="C30:C31"/>
    <mergeCell ref="B38:B39"/>
    <mergeCell ref="C38:C39"/>
    <mergeCell ref="J40:J41"/>
    <mergeCell ref="J46:J47"/>
    <mergeCell ref="B17:E17"/>
    <mergeCell ref="F17:G17"/>
    <mergeCell ref="B22:B23"/>
    <mergeCell ref="C22:C23"/>
    <mergeCell ref="J22:J23"/>
    <mergeCell ref="J28:J29"/>
    <mergeCell ref="B14:E14"/>
    <mergeCell ref="F14:J14"/>
    <mergeCell ref="B15:E15"/>
    <mergeCell ref="F15:J15"/>
    <mergeCell ref="B16:E16"/>
    <mergeCell ref="F16:G16"/>
    <mergeCell ref="B1:E1"/>
    <mergeCell ref="K12:K13"/>
    <mergeCell ref="A12:A13"/>
    <mergeCell ref="B12:B13"/>
    <mergeCell ref="C12:C13"/>
    <mergeCell ref="D12:D13"/>
    <mergeCell ref="E12:E13"/>
    <mergeCell ref="F12:F13"/>
    <mergeCell ref="G12:G13"/>
    <mergeCell ref="H12:H13"/>
    <mergeCell ref="I12:I13"/>
    <mergeCell ref="J12:J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N43"/>
  <sheetViews>
    <sheetView tabSelected="1" topLeftCell="A26" workbookViewId="0">
      <selection activeCell="B42" sqref="B42:J42"/>
    </sheetView>
  </sheetViews>
  <sheetFormatPr baseColWidth="10" defaultRowHeight="15"/>
  <sheetData>
    <row r="1" spans="1:14" ht="15.75" thickTop="1">
      <c r="A1" s="37" t="s">
        <v>48</v>
      </c>
      <c r="B1" s="274" t="s">
        <v>49</v>
      </c>
      <c r="C1" s="275"/>
      <c r="D1" s="275"/>
      <c r="E1" s="275"/>
      <c r="F1" s="276"/>
      <c r="G1" s="38" t="s">
        <v>50</v>
      </c>
      <c r="H1" s="39"/>
      <c r="I1" s="39"/>
      <c r="J1" s="38"/>
      <c r="K1" s="40" t="s">
        <v>50</v>
      </c>
    </row>
    <row r="2" spans="1:14">
      <c r="A2" s="41"/>
      <c r="B2" s="243" t="s">
        <v>0</v>
      </c>
      <c r="C2" s="244"/>
      <c r="D2" s="244"/>
      <c r="E2" s="244"/>
      <c r="F2" s="2" t="s">
        <v>1</v>
      </c>
      <c r="G2" s="2" t="s">
        <v>51</v>
      </c>
      <c r="H2" s="42" t="s">
        <v>52</v>
      </c>
      <c r="I2" s="42" t="s">
        <v>53</v>
      </c>
      <c r="J2" s="2" t="s">
        <v>54</v>
      </c>
      <c r="K2" s="43" t="s">
        <v>55</v>
      </c>
    </row>
    <row r="3" spans="1:14" ht="35.25">
      <c r="A3" s="41" t="s">
        <v>5</v>
      </c>
      <c r="B3" s="10" t="s">
        <v>7</v>
      </c>
      <c r="C3" s="10" t="s">
        <v>8</v>
      </c>
      <c r="D3" s="10" t="s">
        <v>9</v>
      </c>
      <c r="E3" s="11" t="s">
        <v>10</v>
      </c>
      <c r="F3" s="2" t="s">
        <v>6</v>
      </c>
      <c r="G3" s="2" t="s">
        <v>2</v>
      </c>
      <c r="H3" s="42" t="s">
        <v>3</v>
      </c>
      <c r="I3" s="44"/>
      <c r="J3" s="2" t="s">
        <v>4</v>
      </c>
      <c r="K3" s="43" t="s">
        <v>2</v>
      </c>
      <c r="M3" s="194" t="s">
        <v>134</v>
      </c>
      <c r="N3" s="194" t="s">
        <v>131</v>
      </c>
    </row>
    <row r="4" spans="1:14" ht="26.25">
      <c r="A4" s="45" t="s">
        <v>11</v>
      </c>
      <c r="B4" s="46">
        <v>5000</v>
      </c>
      <c r="C4" s="47"/>
      <c r="D4" s="47"/>
      <c r="E4" s="47" t="s">
        <v>12</v>
      </c>
      <c r="F4" s="19">
        <v>2500</v>
      </c>
      <c r="G4" s="19">
        <v>7500</v>
      </c>
      <c r="H4" s="204">
        <f>-ROUND('step 1S'!H4/('step 1S'!H4+'step 1S'!H5)*'step 1S'!H9,0)</f>
        <v>1283</v>
      </c>
      <c r="I4" s="46">
        <v>824</v>
      </c>
      <c r="J4" s="15"/>
      <c r="K4" s="200">
        <f>G4+H4+I4</f>
        <v>9607</v>
      </c>
      <c r="M4" s="194" t="s">
        <v>132</v>
      </c>
    </row>
    <row r="5" spans="1:14" ht="26.25">
      <c r="A5" s="45" t="s">
        <v>13</v>
      </c>
      <c r="B5" s="46">
        <v>710</v>
      </c>
      <c r="C5" s="47"/>
      <c r="D5" s="47"/>
      <c r="E5" s="47" t="s">
        <v>12</v>
      </c>
      <c r="F5" s="15"/>
      <c r="G5" s="19">
        <v>710</v>
      </c>
      <c r="H5" s="204">
        <f>-H9-H4</f>
        <v>267</v>
      </c>
      <c r="I5" s="46">
        <v>178</v>
      </c>
      <c r="J5" s="15"/>
      <c r="K5" s="200">
        <f t="shared" ref="K5" si="0">G5+H5+I5</f>
        <v>1155</v>
      </c>
      <c r="M5" s="194" t="s">
        <v>133</v>
      </c>
    </row>
    <row r="6" spans="1:14" ht="26.25">
      <c r="A6" s="45" t="s">
        <v>14</v>
      </c>
      <c r="B6" s="46">
        <v>508</v>
      </c>
      <c r="C6" s="47"/>
      <c r="D6" s="47"/>
      <c r="E6" s="47"/>
      <c r="F6" s="15"/>
      <c r="G6" s="19">
        <v>508</v>
      </c>
      <c r="H6" s="48"/>
      <c r="I6" s="204">
        <f>'step 1S'!I6+VATS!M25-VATS!K25</f>
        <v>26</v>
      </c>
      <c r="J6" s="19">
        <v>14</v>
      </c>
      <c r="K6" s="200">
        <f>G6+H6+I6+J6</f>
        <v>548</v>
      </c>
      <c r="M6" s="193" t="s">
        <v>130</v>
      </c>
    </row>
    <row r="7" spans="1:14">
      <c r="A7" s="45" t="s">
        <v>15</v>
      </c>
      <c r="B7" s="48"/>
      <c r="C7" s="47"/>
      <c r="D7" s="46">
        <v>4020</v>
      </c>
      <c r="E7" s="47"/>
      <c r="F7" s="19">
        <v>20</v>
      </c>
      <c r="G7" s="19">
        <v>4040</v>
      </c>
      <c r="H7" s="11" t="s">
        <v>16</v>
      </c>
      <c r="I7" s="47"/>
      <c r="J7" s="15"/>
      <c r="K7" s="200">
        <f>G7</f>
        <v>4040</v>
      </c>
    </row>
    <row r="8" spans="1:14" ht="38.25">
      <c r="A8" s="45" t="s">
        <v>17</v>
      </c>
      <c r="B8" s="48"/>
      <c r="C8" s="47" t="s">
        <v>12</v>
      </c>
      <c r="D8" s="47"/>
      <c r="E8" s="46">
        <v>1570</v>
      </c>
      <c r="F8" s="15"/>
      <c r="G8" s="19">
        <v>1570</v>
      </c>
      <c r="H8" s="11" t="s">
        <v>16</v>
      </c>
      <c r="I8" s="47"/>
      <c r="J8" s="15"/>
      <c r="K8" s="200">
        <f>G8</f>
        <v>1570</v>
      </c>
    </row>
    <row r="9" spans="1:14" ht="38.25">
      <c r="A9" s="49" t="s">
        <v>18</v>
      </c>
      <c r="B9" s="50"/>
      <c r="C9" s="22">
        <v>1550</v>
      </c>
      <c r="D9" s="51"/>
      <c r="E9" s="51"/>
      <c r="F9" s="11" t="s">
        <v>16</v>
      </c>
      <c r="G9" s="23">
        <v>1550</v>
      </c>
      <c r="H9" s="22">
        <v>-1550</v>
      </c>
      <c r="I9" s="51"/>
      <c r="J9" s="52"/>
      <c r="K9" s="201" t="s">
        <v>16</v>
      </c>
      <c r="M9" s="193">
        <f>-H9/('step 1S'!H4+'step 1S'!H5)</f>
        <v>0.80186239006725302</v>
      </c>
      <c r="N9" s="193" t="s">
        <v>141</v>
      </c>
    </row>
    <row r="10" spans="1:14" ht="15.75" thickBot="1">
      <c r="A10" s="53" t="s">
        <v>50</v>
      </c>
      <c r="B10" s="54">
        <v>6218</v>
      </c>
      <c r="C10" s="54">
        <v>1550</v>
      </c>
      <c r="D10" s="54">
        <v>4020</v>
      </c>
      <c r="E10" s="54">
        <v>1570</v>
      </c>
      <c r="F10" s="55">
        <v>2520</v>
      </c>
      <c r="G10" s="55">
        <v>15878</v>
      </c>
      <c r="H10" s="54">
        <v>0</v>
      </c>
      <c r="I10" s="54" t="e">
        <f>'step 1S'!I10</f>
        <v>#REF!</v>
      </c>
      <c r="J10" s="55">
        <v>14</v>
      </c>
      <c r="K10" s="202">
        <f>K4+K5+K6+K7+K8</f>
        <v>16920</v>
      </c>
    </row>
    <row r="11" spans="1:14" ht="16.5" thickTop="1" thickBot="1">
      <c r="A11" s="47"/>
      <c r="B11" s="47"/>
      <c r="C11" s="47"/>
      <c r="D11" s="47"/>
      <c r="E11" s="47"/>
      <c r="F11" s="47"/>
      <c r="G11" s="47"/>
      <c r="H11" s="47"/>
      <c r="I11" s="47"/>
      <c r="J11" s="47"/>
      <c r="K11" s="47"/>
    </row>
    <row r="12" spans="1:14" ht="15.75" thickTop="1">
      <c r="A12" s="56"/>
      <c r="B12" s="277"/>
      <c r="C12" s="277"/>
      <c r="D12" s="277"/>
      <c r="E12" s="277"/>
      <c r="F12" s="278"/>
      <c r="G12" s="278"/>
      <c r="H12" s="278"/>
      <c r="I12" s="278"/>
      <c r="J12" s="278"/>
      <c r="K12" s="57" t="s">
        <v>56</v>
      </c>
    </row>
    <row r="13" spans="1:14">
      <c r="A13" s="58" t="s">
        <v>22</v>
      </c>
      <c r="B13" s="279" t="s">
        <v>23</v>
      </c>
      <c r="C13" s="280"/>
      <c r="D13" s="280"/>
      <c r="E13" s="281"/>
      <c r="F13" s="279" t="s">
        <v>24</v>
      </c>
      <c r="G13" s="280"/>
      <c r="H13" s="280"/>
      <c r="I13" s="280"/>
      <c r="J13" s="281"/>
      <c r="K13" s="59" t="s">
        <v>57</v>
      </c>
    </row>
    <row r="14" spans="1:14">
      <c r="A14" s="60"/>
      <c r="B14" s="279" t="s">
        <v>0</v>
      </c>
      <c r="C14" s="280"/>
      <c r="D14" s="280"/>
      <c r="E14" s="281"/>
      <c r="F14" s="279" t="s">
        <v>58</v>
      </c>
      <c r="G14" s="280"/>
      <c r="H14" s="61" t="s">
        <v>59</v>
      </c>
      <c r="I14" s="61" t="s">
        <v>60</v>
      </c>
      <c r="J14" s="62" t="s">
        <v>30</v>
      </c>
      <c r="K14" s="63"/>
    </row>
    <row r="15" spans="1:14">
      <c r="A15" s="60" t="s">
        <v>5</v>
      </c>
      <c r="B15" s="64" t="s">
        <v>7</v>
      </c>
      <c r="C15" s="61" t="s">
        <v>8</v>
      </c>
      <c r="D15" s="61" t="s">
        <v>9</v>
      </c>
      <c r="E15" s="62" t="s">
        <v>10</v>
      </c>
      <c r="F15" s="64" t="s">
        <v>33</v>
      </c>
      <c r="G15" s="61" t="s">
        <v>34</v>
      </c>
      <c r="H15" s="65"/>
      <c r="I15" s="61" t="s">
        <v>61</v>
      </c>
      <c r="J15" s="62" t="s">
        <v>12</v>
      </c>
      <c r="K15" s="66"/>
    </row>
    <row r="16" spans="1:14">
      <c r="A16" s="67"/>
      <c r="B16" s="68"/>
      <c r="C16" s="69"/>
      <c r="D16" s="69"/>
      <c r="E16" s="70"/>
      <c r="F16" s="68"/>
      <c r="G16" s="69"/>
      <c r="H16" s="69"/>
      <c r="I16" s="69"/>
      <c r="J16" s="70"/>
      <c r="K16" s="71"/>
    </row>
    <row r="17" spans="1:13" ht="38.25">
      <c r="A17" s="67" t="s">
        <v>35</v>
      </c>
      <c r="B17" s="72">
        <f>'step 1S'!B21</f>
        <v>2200</v>
      </c>
      <c r="C17" s="72">
        <f>'step 1S'!C21</f>
        <v>110</v>
      </c>
      <c r="D17" s="72">
        <f>'step 1S'!D21</f>
        <v>1080</v>
      </c>
      <c r="E17" s="72">
        <f>'step 1S'!E21</f>
        <v>264</v>
      </c>
      <c r="F17" s="72">
        <f>'step 1S'!F21</f>
        <v>2160</v>
      </c>
      <c r="G17" s="72">
        <v>0</v>
      </c>
      <c r="H17" s="72">
        <f>'step 1S'!H21</f>
        <v>1440</v>
      </c>
      <c r="I17" s="206">
        <f>K17-'step 1S'!K21</f>
        <v>-167</v>
      </c>
      <c r="J17" s="72">
        <f>'step 1S'!J21</f>
        <v>2520</v>
      </c>
      <c r="K17" s="75">
        <f>K4</f>
        <v>9607</v>
      </c>
      <c r="M17" s="194" t="s">
        <v>139</v>
      </c>
    </row>
    <row r="18" spans="1:13" ht="26.25">
      <c r="A18" s="76" t="s">
        <v>37</v>
      </c>
      <c r="B18" s="77"/>
      <c r="C18" s="78"/>
      <c r="D18" s="79">
        <v>180</v>
      </c>
      <c r="E18" s="80">
        <v>44</v>
      </c>
      <c r="F18" s="81">
        <v>360</v>
      </c>
      <c r="G18" s="61" t="s">
        <v>16</v>
      </c>
      <c r="H18" s="79">
        <v>240</v>
      </c>
      <c r="I18" s="78"/>
      <c r="J18" s="80">
        <v>0</v>
      </c>
      <c r="K18" s="82">
        <v>824</v>
      </c>
      <c r="M18" s="194" t="s">
        <v>140</v>
      </c>
    </row>
    <row r="19" spans="1:13" ht="25.5">
      <c r="A19" s="76" t="s">
        <v>62</v>
      </c>
      <c r="B19" s="83">
        <f>ROUND('step 1S'!B25*'final (S)'!$M$9,0)</f>
        <v>160</v>
      </c>
      <c r="C19" s="83">
        <f>ROUND('step 1S'!C25*'final (S)'!$M$9,0)</f>
        <v>8</v>
      </c>
      <c r="D19" s="83">
        <f>ROUND('step 1S'!D25*'final (S)'!$M$9,0)</f>
        <v>120</v>
      </c>
      <c r="E19" s="83">
        <f>ROUND('step 1S'!E25*'final (S)'!$M$9,0)</f>
        <v>16</v>
      </c>
      <c r="F19" s="210">
        <f>ROUND('step 1S'!F25*'final (S)'!$M$9,0)+1</f>
        <v>482</v>
      </c>
      <c r="G19" s="83">
        <v>0</v>
      </c>
      <c r="H19" s="83">
        <f>ROUND('step 1S'!H25*'final (S)'!$M$9,0)</f>
        <v>160</v>
      </c>
      <c r="I19" s="83">
        <f>ROUND('step 1S'!I25*'final (S)'!$M$9,0)</f>
        <v>0</v>
      </c>
      <c r="J19" s="83">
        <f>ROUND('step 1S'!J25*'final (S)'!$M$9,0)</f>
        <v>337</v>
      </c>
      <c r="K19" s="84">
        <f>H4</f>
        <v>1283</v>
      </c>
    </row>
    <row r="20" spans="1:13" ht="25.5">
      <c r="A20" s="76" t="s">
        <v>39</v>
      </c>
      <c r="B20" s="81">
        <f>B17-B18-B19</f>
        <v>2040</v>
      </c>
      <c r="C20" s="81">
        <f t="shared" ref="C20:K20" si="1">C17-C18-C19</f>
        <v>102</v>
      </c>
      <c r="D20" s="81">
        <f t="shared" si="1"/>
        <v>780</v>
      </c>
      <c r="E20" s="81">
        <f t="shared" si="1"/>
        <v>204</v>
      </c>
      <c r="F20" s="81">
        <f t="shared" si="1"/>
        <v>1318</v>
      </c>
      <c r="G20" s="81"/>
      <c r="H20" s="81">
        <f t="shared" si="1"/>
        <v>1040</v>
      </c>
      <c r="I20" s="81">
        <f t="shared" si="1"/>
        <v>-167</v>
      </c>
      <c r="J20" s="81">
        <f t="shared" si="1"/>
        <v>2183</v>
      </c>
      <c r="K20" s="81">
        <f t="shared" si="1"/>
        <v>7500</v>
      </c>
    </row>
    <row r="21" spans="1:13">
      <c r="A21" s="76"/>
      <c r="B21" s="68"/>
      <c r="C21" s="69"/>
      <c r="D21" s="69"/>
      <c r="E21" s="70"/>
      <c r="F21" s="68"/>
      <c r="G21" s="69"/>
      <c r="H21" s="273"/>
      <c r="I21" s="69"/>
      <c r="J21" s="272"/>
      <c r="K21" s="71"/>
    </row>
    <row r="22" spans="1:13" ht="38.25">
      <c r="A22" s="67" t="s">
        <v>40</v>
      </c>
      <c r="B22" s="72">
        <f>'step 1S'!B29</f>
        <v>60</v>
      </c>
      <c r="C22" s="72">
        <f>'step 1S'!C29</f>
        <v>13</v>
      </c>
      <c r="D22" s="72">
        <f>'step 1S'!D29</f>
        <v>180</v>
      </c>
      <c r="E22" s="72">
        <f>'step 1S'!E29</f>
        <v>72</v>
      </c>
      <c r="F22" s="72">
        <f>'step 1S'!F29</f>
        <v>816</v>
      </c>
      <c r="G22" s="61">
        <v>0</v>
      </c>
      <c r="H22" s="273"/>
      <c r="I22" s="206">
        <f>K22-SUM(B22:F22)</f>
        <v>14</v>
      </c>
      <c r="J22" s="272"/>
      <c r="K22" s="207">
        <f>K5</f>
        <v>1155</v>
      </c>
    </row>
    <row r="23" spans="1:13">
      <c r="A23" s="76" t="s">
        <v>37</v>
      </c>
      <c r="B23" s="77"/>
      <c r="C23" s="78"/>
      <c r="D23" s="79">
        <v>30</v>
      </c>
      <c r="E23" s="80">
        <v>12</v>
      </c>
      <c r="F23" s="81">
        <v>136</v>
      </c>
      <c r="G23" s="61">
        <v>0</v>
      </c>
      <c r="H23" s="78"/>
      <c r="I23" s="78"/>
      <c r="J23" s="80">
        <v>0</v>
      </c>
      <c r="K23" s="82">
        <v>178</v>
      </c>
    </row>
    <row r="24" spans="1:13" ht="25.5">
      <c r="A24" s="76" t="s">
        <v>62</v>
      </c>
      <c r="B24" s="83">
        <f>ROUND('step 1S'!B33*'final (S)'!$M$9,0)</f>
        <v>8</v>
      </c>
      <c r="C24" s="83">
        <f>ROUND('step 1S'!C33*'final (S)'!$M$9,0)</f>
        <v>2</v>
      </c>
      <c r="D24" s="83">
        <f>ROUND('step 1S'!D33*'final (S)'!$M$9,0)</f>
        <v>24</v>
      </c>
      <c r="E24" s="83">
        <f>ROUND('step 1S'!E33*'final (S)'!$M$9,0)</f>
        <v>8</v>
      </c>
      <c r="F24" s="83">
        <f>ROUND('step 1S'!F33*'final (S)'!$M$9,0)</f>
        <v>225</v>
      </c>
      <c r="G24" s="83">
        <v>0</v>
      </c>
      <c r="H24" s="83">
        <f>ROUND('step 1S'!H33*'final (S)'!$M$9,0)</f>
        <v>0</v>
      </c>
      <c r="I24" s="83">
        <f>ROUND('step 1S'!I33*'final (S)'!$M$9,0)</f>
        <v>0</v>
      </c>
      <c r="J24" s="83">
        <f>ROUND('step 1S'!J33*'final (S)'!$M$9,0)</f>
        <v>0</v>
      </c>
      <c r="K24" s="84">
        <v>267</v>
      </c>
    </row>
    <row r="25" spans="1:13" ht="25.5">
      <c r="A25" s="76" t="s">
        <v>39</v>
      </c>
      <c r="B25" s="81">
        <f>B22-B23-B24</f>
        <v>52</v>
      </c>
      <c r="C25" s="81">
        <f t="shared" ref="C25" si="2">C22-C23-C24</f>
        <v>11</v>
      </c>
      <c r="D25" s="81">
        <f t="shared" ref="D25" si="3">D22-D23-D24</f>
        <v>126</v>
      </c>
      <c r="E25" s="81">
        <f t="shared" ref="E25" si="4">E22-E23-E24</f>
        <v>52</v>
      </c>
      <c r="F25" s="81">
        <f t="shared" ref="F25" si="5">F22-F23-F24</f>
        <v>455</v>
      </c>
      <c r="G25" s="81"/>
      <c r="H25" s="81">
        <f t="shared" ref="H25" si="6">H22-H23-H24</f>
        <v>0</v>
      </c>
      <c r="I25" s="81">
        <f t="shared" ref="I25" si="7">I22-I23-I24</f>
        <v>14</v>
      </c>
      <c r="J25" s="81">
        <f t="shared" ref="J25" si="8">J22-J23-J24</f>
        <v>0</v>
      </c>
      <c r="K25" s="81">
        <f t="shared" ref="K25" si="9">K22-K23-K24</f>
        <v>710</v>
      </c>
    </row>
    <row r="26" spans="1:13">
      <c r="A26" s="76"/>
      <c r="B26" s="68"/>
      <c r="C26" s="69"/>
      <c r="D26" s="69"/>
      <c r="E26" s="70"/>
      <c r="F26" s="68"/>
      <c r="G26" s="69"/>
      <c r="H26" s="69"/>
      <c r="I26" s="69"/>
      <c r="J26" s="70"/>
      <c r="K26" s="71"/>
    </row>
    <row r="27" spans="1:13" ht="26.25">
      <c r="A27" s="67" t="s">
        <v>63</v>
      </c>
      <c r="B27" s="72">
        <f>'SUT1 (S)'!B22</f>
        <v>360</v>
      </c>
      <c r="C27" s="72">
        <f>'SUT1 (S)'!C22</f>
        <v>22</v>
      </c>
      <c r="D27" s="72">
        <f>D28+D29+D30</f>
        <v>12</v>
      </c>
      <c r="E27" s="72">
        <f>'SUT1 (S)'!E22</f>
        <v>12</v>
      </c>
      <c r="F27" s="72">
        <f>'SUT1 (S)'!F22</f>
        <v>132</v>
      </c>
      <c r="G27" s="61">
        <v>0</v>
      </c>
      <c r="H27" s="61">
        <v>0</v>
      </c>
      <c r="I27" s="61">
        <v>0</v>
      </c>
      <c r="J27" s="72">
        <f>'SUT1 (S)'!J22</f>
        <v>10</v>
      </c>
      <c r="K27" s="85">
        <f>K6</f>
        <v>548</v>
      </c>
      <c r="M27" s="194" t="s">
        <v>138</v>
      </c>
    </row>
    <row r="28" spans="1:13" ht="26.25">
      <c r="A28" s="76" t="s">
        <v>37</v>
      </c>
      <c r="B28" s="77"/>
      <c r="C28" s="78"/>
      <c r="D28" s="203">
        <f>K28-F28-E28-C28</f>
        <v>2</v>
      </c>
      <c r="E28" s="80">
        <f>VATS!E24</f>
        <v>2</v>
      </c>
      <c r="F28" s="81">
        <f>VATS!F24</f>
        <v>22</v>
      </c>
      <c r="G28" s="61">
        <v>0</v>
      </c>
      <c r="H28" s="61" t="s">
        <v>16</v>
      </c>
      <c r="I28" s="61" t="s">
        <v>16</v>
      </c>
      <c r="J28" s="86"/>
      <c r="K28" s="205">
        <f>I6</f>
        <v>26</v>
      </c>
      <c r="M28" s="194" t="s">
        <v>137</v>
      </c>
    </row>
    <row r="29" spans="1:13" ht="26.25">
      <c r="A29" s="76" t="s">
        <v>64</v>
      </c>
      <c r="B29" s="77"/>
      <c r="C29" s="81">
        <f>'excise taxesS'!C10</f>
        <v>2</v>
      </c>
      <c r="D29" s="203">
        <f>K29-F29-E29-C29</f>
        <v>1</v>
      </c>
      <c r="E29" s="81">
        <f>'excise taxesS'!E10</f>
        <v>1</v>
      </c>
      <c r="F29" s="81">
        <f>'excise taxesS'!D10</f>
        <v>10</v>
      </c>
      <c r="G29" s="61">
        <v>0</v>
      </c>
      <c r="H29" s="61" t="s">
        <v>16</v>
      </c>
      <c r="I29" s="61" t="s">
        <v>16</v>
      </c>
      <c r="J29" s="86"/>
      <c r="K29" s="205">
        <f>'excise taxesS'!M10</f>
        <v>14</v>
      </c>
      <c r="M29" s="193" t="s">
        <v>135</v>
      </c>
    </row>
    <row r="30" spans="1:13" ht="25.5">
      <c r="A30" s="76" t="s">
        <v>39</v>
      </c>
      <c r="B30" s="81">
        <f>B27-B28-B29</f>
        <v>360</v>
      </c>
      <c r="C30" s="81">
        <f>C27-C28-C29</f>
        <v>20</v>
      </c>
      <c r="D30" s="203">
        <f>K30-J30-F30-E30-C30-B30</f>
        <v>9</v>
      </c>
      <c r="E30" s="81">
        <f t="shared" ref="E30:F30" si="10">E27-E28-E29</f>
        <v>9</v>
      </c>
      <c r="F30" s="81">
        <f t="shared" si="10"/>
        <v>100</v>
      </c>
      <c r="G30" s="81"/>
      <c r="H30" s="81"/>
      <c r="I30" s="81"/>
      <c r="J30" s="81">
        <f t="shared" ref="J30" si="11">J27-J28-J29</f>
        <v>10</v>
      </c>
      <c r="K30" s="81">
        <f t="shared" ref="K30" si="12">K27-K28-K29</f>
        <v>508</v>
      </c>
    </row>
    <row r="31" spans="1:13">
      <c r="A31" s="76"/>
      <c r="B31" s="68"/>
      <c r="C31" s="69"/>
      <c r="D31" s="69"/>
      <c r="E31" s="70"/>
      <c r="F31" s="68"/>
      <c r="G31" s="69"/>
      <c r="H31" s="273"/>
      <c r="I31" s="69"/>
      <c r="J31" s="70"/>
      <c r="K31" s="71"/>
    </row>
    <row r="32" spans="1:13">
      <c r="A32" s="67" t="s">
        <v>15</v>
      </c>
      <c r="B32" s="72">
        <v>600</v>
      </c>
      <c r="C32" s="73">
        <v>200</v>
      </c>
      <c r="D32" s="208">
        <f>K32-J32-F32-E32-C32-B32</f>
        <v>800</v>
      </c>
      <c r="E32" s="74">
        <v>240</v>
      </c>
      <c r="F32" s="72">
        <v>1600</v>
      </c>
      <c r="G32" s="61">
        <v>0</v>
      </c>
      <c r="H32" s="273"/>
      <c r="I32" s="61">
        <v>0</v>
      </c>
      <c r="J32" s="74">
        <v>600</v>
      </c>
      <c r="K32" s="207">
        <f>K7</f>
        <v>4040</v>
      </c>
    </row>
    <row r="33" spans="1:11">
      <c r="A33" s="67"/>
      <c r="B33" s="68"/>
      <c r="C33" s="69"/>
      <c r="D33" s="69"/>
      <c r="E33" s="272"/>
      <c r="F33" s="68"/>
      <c r="G33" s="69"/>
      <c r="H33" s="273"/>
      <c r="I33" s="69"/>
      <c r="J33" s="272"/>
      <c r="K33" s="71"/>
    </row>
    <row r="34" spans="1:11" ht="38.25">
      <c r="A34" s="67" t="s">
        <v>17</v>
      </c>
      <c r="B34" s="72">
        <v>20</v>
      </c>
      <c r="C34" s="73">
        <v>10</v>
      </c>
      <c r="D34" s="73">
        <v>60</v>
      </c>
      <c r="E34" s="272"/>
      <c r="F34" s="72">
        <v>80</v>
      </c>
      <c r="G34" s="73">
        <v>1400</v>
      </c>
      <c r="H34" s="273"/>
      <c r="I34" s="61">
        <v>0</v>
      </c>
      <c r="J34" s="272"/>
      <c r="K34" s="85">
        <v>1570</v>
      </c>
    </row>
    <row r="35" spans="1:11">
      <c r="A35" s="67"/>
      <c r="B35" s="68"/>
      <c r="C35" s="69"/>
      <c r="D35" s="69"/>
      <c r="E35" s="70"/>
      <c r="F35" s="68"/>
      <c r="G35" s="69"/>
      <c r="H35" s="69"/>
      <c r="I35" s="69"/>
      <c r="J35" s="70"/>
      <c r="K35" s="71"/>
    </row>
    <row r="36" spans="1:11" ht="38.25">
      <c r="A36" s="67" t="s">
        <v>65</v>
      </c>
      <c r="B36" s="64"/>
      <c r="C36" s="61"/>
      <c r="D36" s="61"/>
      <c r="E36" s="62"/>
      <c r="F36" s="64"/>
      <c r="G36" s="61"/>
      <c r="H36" s="61"/>
      <c r="I36" s="61"/>
      <c r="J36" s="62"/>
      <c r="K36" s="87"/>
    </row>
    <row r="37" spans="1:11" ht="41.25" customHeight="1">
      <c r="A37" s="76" t="s">
        <v>44</v>
      </c>
      <c r="B37" s="88">
        <f>B19+B24</f>
        <v>168</v>
      </c>
      <c r="C37" s="88">
        <f t="shared" ref="C37:J37" si="13">C19+C24</f>
        <v>10</v>
      </c>
      <c r="D37" s="88">
        <f t="shared" si="13"/>
        <v>144</v>
      </c>
      <c r="E37" s="88">
        <f t="shared" si="13"/>
        <v>24</v>
      </c>
      <c r="F37" s="88">
        <f t="shared" si="13"/>
        <v>707</v>
      </c>
      <c r="G37" s="88">
        <f t="shared" si="13"/>
        <v>0</v>
      </c>
      <c r="H37" s="88">
        <f t="shared" si="13"/>
        <v>160</v>
      </c>
      <c r="I37" s="88">
        <f t="shared" si="13"/>
        <v>0</v>
      </c>
      <c r="J37" s="88">
        <f t="shared" si="13"/>
        <v>337</v>
      </c>
      <c r="K37" s="75">
        <f>H9</f>
        <v>-1550</v>
      </c>
    </row>
    <row r="38" spans="1:11">
      <c r="A38" s="76"/>
      <c r="B38" s="77"/>
      <c r="C38" s="78"/>
      <c r="D38" s="78"/>
      <c r="E38" s="86"/>
      <c r="F38" s="77"/>
      <c r="G38" s="78"/>
      <c r="H38" s="78"/>
      <c r="I38" s="78"/>
      <c r="J38" s="86"/>
      <c r="K38" s="89"/>
    </row>
    <row r="39" spans="1:11" ht="63.75">
      <c r="A39" s="76" t="s">
        <v>143</v>
      </c>
      <c r="B39" s="81">
        <f>B42-B41-B40</f>
        <v>3240</v>
      </c>
      <c r="C39" s="81">
        <f>C42-C41-C40</f>
        <v>353</v>
      </c>
      <c r="D39" s="81">
        <f>D42-D41-D40</f>
        <v>1919</v>
      </c>
      <c r="E39" s="81">
        <f>E42-E41-E40</f>
        <v>529</v>
      </c>
      <c r="F39" s="81">
        <f>F42-F41-F40</f>
        <v>4260</v>
      </c>
      <c r="G39" s="81">
        <f>G34</f>
        <v>1400</v>
      </c>
      <c r="H39" s="81">
        <f>H42-H41-H40</f>
        <v>1200</v>
      </c>
      <c r="I39" s="81">
        <f>I17+I22</f>
        <v>-153</v>
      </c>
      <c r="J39" s="81">
        <f>J42-J41-J40</f>
        <v>3130</v>
      </c>
      <c r="K39" s="85">
        <f>SUM(B39:J39)</f>
        <v>15878</v>
      </c>
    </row>
    <row r="40" spans="1:11">
      <c r="A40" s="76" t="s">
        <v>37</v>
      </c>
      <c r="B40" s="81">
        <f>B18+B23+B28</f>
        <v>0</v>
      </c>
      <c r="C40" s="81">
        <f t="shared" ref="C40:F40" si="14">C18+C23+C28</f>
        <v>0</v>
      </c>
      <c r="D40" s="81">
        <f t="shared" si="14"/>
        <v>212</v>
      </c>
      <c r="E40" s="81">
        <f t="shared" si="14"/>
        <v>58</v>
      </c>
      <c r="F40" s="81">
        <f t="shared" si="14"/>
        <v>518</v>
      </c>
      <c r="G40" s="81"/>
      <c r="H40" s="81">
        <f>H18</f>
        <v>240</v>
      </c>
      <c r="I40" s="81"/>
      <c r="J40" s="81"/>
      <c r="K40" s="84">
        <f>SUM(B40:H40)</f>
        <v>1028</v>
      </c>
    </row>
    <row r="41" spans="1:11" ht="25.5">
      <c r="A41" s="90" t="s">
        <v>64</v>
      </c>
      <c r="B41" s="91">
        <f>B29</f>
        <v>0</v>
      </c>
      <c r="C41" s="91">
        <f t="shared" ref="C41:J41" si="15">C29</f>
        <v>2</v>
      </c>
      <c r="D41" s="91">
        <f t="shared" si="15"/>
        <v>1</v>
      </c>
      <c r="E41" s="91">
        <f t="shared" si="15"/>
        <v>1</v>
      </c>
      <c r="F41" s="91">
        <f t="shared" si="15"/>
        <v>10</v>
      </c>
      <c r="G41" s="91">
        <f t="shared" si="15"/>
        <v>0</v>
      </c>
      <c r="H41" s="91">
        <v>0</v>
      </c>
      <c r="I41" s="91">
        <v>0</v>
      </c>
      <c r="J41" s="91">
        <f t="shared" si="15"/>
        <v>0</v>
      </c>
      <c r="K41" s="92">
        <v>14</v>
      </c>
    </row>
    <row r="42" spans="1:11" ht="39" thickBot="1">
      <c r="A42" s="93" t="s">
        <v>47</v>
      </c>
      <c r="B42" s="94">
        <f>B17+B22+B27+B32+B34+B36</f>
        <v>3240</v>
      </c>
      <c r="C42" s="94">
        <f t="shared" ref="C42:J42" si="16">C17+C22+C27+C32+C34+C36</f>
        <v>355</v>
      </c>
      <c r="D42" s="94">
        <f t="shared" si="16"/>
        <v>2132</v>
      </c>
      <c r="E42" s="94">
        <f t="shared" si="16"/>
        <v>588</v>
      </c>
      <c r="F42" s="94">
        <f t="shared" si="16"/>
        <v>4788</v>
      </c>
      <c r="G42" s="94">
        <f t="shared" si="16"/>
        <v>1400</v>
      </c>
      <c r="H42" s="94">
        <f t="shared" si="16"/>
        <v>1440</v>
      </c>
      <c r="I42" s="94">
        <f t="shared" si="16"/>
        <v>-153</v>
      </c>
      <c r="J42" s="94">
        <f t="shared" si="16"/>
        <v>3130</v>
      </c>
      <c r="K42" s="95">
        <v>16920</v>
      </c>
    </row>
    <row r="43" spans="1:11" ht="15.75" thickTop="1">
      <c r="A43" s="211" t="s">
        <v>142</v>
      </c>
      <c r="B43" s="212">
        <f t="shared" ref="B43:H43" si="17">B20+B25+B30+B32+B34+B37</f>
        <v>3240</v>
      </c>
      <c r="C43" s="212">
        <f t="shared" si="17"/>
        <v>353</v>
      </c>
      <c r="D43" s="212">
        <f t="shared" si="17"/>
        <v>1919</v>
      </c>
      <c r="E43" s="212">
        <f t="shared" si="17"/>
        <v>529</v>
      </c>
      <c r="F43" s="212">
        <f t="shared" si="17"/>
        <v>4260</v>
      </c>
      <c r="G43" s="212">
        <f t="shared" si="17"/>
        <v>1400</v>
      </c>
      <c r="H43" s="212">
        <f t="shared" si="17"/>
        <v>1200</v>
      </c>
      <c r="I43" s="212">
        <f>I20+I25</f>
        <v>-153</v>
      </c>
      <c r="J43" s="212">
        <f>J20+J25+J30+J32+J34+J37</f>
        <v>3130</v>
      </c>
      <c r="K43" s="212">
        <f>SUM(B43:J43)</f>
        <v>15878</v>
      </c>
    </row>
  </sheetData>
  <mergeCells count="14">
    <mergeCell ref="E33:E34"/>
    <mergeCell ref="H33:H34"/>
    <mergeCell ref="J33:J34"/>
    <mergeCell ref="B1:F1"/>
    <mergeCell ref="B2:E2"/>
    <mergeCell ref="B12:E12"/>
    <mergeCell ref="F12:J12"/>
    <mergeCell ref="B13:E13"/>
    <mergeCell ref="F13:J13"/>
    <mergeCell ref="B14:E14"/>
    <mergeCell ref="F14:G14"/>
    <mergeCell ref="H21:H22"/>
    <mergeCell ref="J21:J22"/>
    <mergeCell ref="H31:H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USE</vt:lpstr>
      <vt:lpstr>USES</vt:lpstr>
      <vt:lpstr>SUT1 (S)</vt:lpstr>
      <vt:lpstr>VATS</vt:lpstr>
      <vt:lpstr>trade margins(S)</vt:lpstr>
      <vt:lpstr>excise taxesS</vt:lpstr>
      <vt:lpstr>step 1S</vt:lpstr>
      <vt:lpstr>final (S)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2020-06-19T06:19:02Z</dcterms:created>
  <dcterms:modified xsi:type="dcterms:W3CDTF">2020-10-14T09:11:23Z</dcterms:modified>
</cp:coreProperties>
</file>